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defaultThemeVersion="166925"/>
  <mc:AlternateContent xmlns:mc="http://schemas.openxmlformats.org/markup-compatibility/2006">
    <mc:Choice Requires="x15">
      <x15ac:absPath xmlns:x15ac="http://schemas.microsoft.com/office/spreadsheetml/2010/11/ac" url="C:\Users\Carlos\CloudStation\Rol y Juegos\SHInc\"/>
    </mc:Choice>
  </mc:AlternateContent>
  <xr:revisionPtr revIDLastSave="0" documentId="13_ncr:1_{F7729B99-F824-4AB6-9F75-E249F62B5953}" xr6:coauthVersionLast="47" xr6:coauthVersionMax="47" xr10:uidLastSave="{00000000-0000-0000-0000-000000000000}"/>
  <bookViews>
    <workbookView xWindow="810" yWindow="-120" windowWidth="37710" windowHeight="16440" tabRatio="906" firstSheet="1" activeTab="2" xr2:uid="{515DADAA-67B9-47B1-AC03-2A4E9C02D62E}"/>
  </bookViews>
  <sheets>
    <sheet name="Pendiente" sheetId="20" state="hidden" r:id="rId1"/>
    <sheet name="Notas" sheetId="19" r:id="rId2"/>
    <sheet name="Ficha" sheetId="8" r:id="rId3"/>
    <sheet name="EXP-PCs" sheetId="17" state="hidden" r:id="rId4"/>
    <sheet name="Historia y Personaje" sheetId="18" state="hidden" r:id="rId5"/>
    <sheet name="Fuerza" sheetId="3" state="hidden" r:id="rId6"/>
    <sheet name="Constitución" sheetId="4" state="hidden" r:id="rId7"/>
    <sheet name="Agilidad" sheetId="5" state="hidden" r:id="rId8"/>
    <sheet name="Inteligencia" sheetId="6" state="hidden" r:id="rId9"/>
    <sheet name="Voluntad" sheetId="7" state="hidden" r:id="rId10"/>
    <sheet name="Habilidades" sheetId="9" state="hidden" r:id="rId11"/>
    <sheet name="Origen" sheetId="2" state="hidden" r:id="rId12"/>
    <sheet name="Poderes" sheetId="10" state="hidden" r:id="rId13"/>
    <sheet name="Hechizos" sheetId="13" state="hidden" r:id="rId14"/>
    <sheet name="Tecnoarmaduras" sheetId="14" state="hidden" r:id="rId15"/>
    <sheet name="Armas" sheetId="15" state="hidden" r:id="rId16"/>
    <sheet name="Artefactos" sheetId="16" state="hidden" r:id="rId17"/>
  </sheets>
  <definedNames>
    <definedName name="Accidental">Poderes!$I$22:$BI$22</definedName>
    <definedName name="Alterado">Origen!$G$2:$G$3</definedName>
    <definedName name="Ambiente_Infantil">'Historia y Personaje'!$L$26:$L$29</definedName>
    <definedName name="Amistades_Allegados">'Historia y Personaje'!$D$2:$D$7</definedName>
    <definedName name="Arcano">Origen!$K$2</definedName>
    <definedName name="Armas_CaC">Armas!$K$3:$K$21</definedName>
    <definedName name="Armas_Fuego">Armas!$A$3:$A$23</definedName>
    <definedName name="Atlante">Poderes!$I$24:$L$24</definedName>
    <definedName name="Avatar">Poderes!$I$6:$AB$6</definedName>
    <definedName name="Cósmico">Origen!$D$2:$D$3</definedName>
    <definedName name="Cyborg">Tecnoarmaduras!$B$7:$AG$7</definedName>
    <definedName name="Cyborg_FUE">Origen!$H$43:$H$48</definedName>
    <definedName name="Cyborg_PV">Origen!$H$36:$H$41</definedName>
    <definedName name="Dios">Poderes!$I$3:$Z$3</definedName>
    <definedName name="Dios_menor">Poderes!$I$4:$Z$4</definedName>
    <definedName name="Divino">Origen!$C$2:$C$4</definedName>
    <definedName name="Energético">Poderes!$I$17:$AG$17</definedName>
    <definedName name="Energético_Físico">Poderes!$I$20:$AX$20</definedName>
    <definedName name="Exoesqueleto_Defensivo">Origen!$E$32:$E$37</definedName>
    <definedName name="Exoesqueleto_energético">Origen!$E$53:$E$58</definedName>
    <definedName name="Experimental">Poderes!$I$23:$BI$23</definedName>
    <definedName name="Familia">'Historia y Personaje'!$H$25:$H$28</definedName>
    <definedName name="Fiabilidad_Artefacto">Artefactos!$D$2:$D$7</definedName>
    <definedName name="Físico">Poderes!$I$18:$Z$18</definedName>
    <definedName name="Guardián">Origen!$E$2:$E$9</definedName>
    <definedName name="Hechizos">Hechizos!$A$2:$A$25</definedName>
    <definedName name="Heraldo">Poderes!$I$7:$AB$7</definedName>
    <definedName name="Híbrido">Poderes!$I$27:$BL$27</definedName>
    <definedName name="I.A.">Tecnoarmaduras!$B$3:$AA$3</definedName>
    <definedName name="Ingresos_Tecnificados">Origen!$A$33:$A$37</definedName>
    <definedName name="Localizaciones">Tecnoarmaduras!$A$10:$A$16</definedName>
    <definedName name="Material">Armas!$O$3:$O$9</definedName>
    <definedName name="Mejora_poderes">Poderes!$H$37:$H$40</definedName>
    <definedName name="Mutante">Origen!$F$2:$F$7</definedName>
    <definedName name="Nivel">Hechizos!$G$2:$G$12</definedName>
    <definedName name="Objeto_Anillo">Poderes!$I$8:$AO$8</definedName>
    <definedName name="Objeto_Arma">Poderes!$I$9:$AO$9</definedName>
    <definedName name="Objeto_Armadura">Poderes!$I$10:$AO$10</definedName>
    <definedName name="Objeto_Colgante">Poderes!$I$12:$AO$12</definedName>
    <definedName name="Objeto_Estatuilla">Poderes!$I$13:$AO$13</definedName>
    <definedName name="Objeto_Gema_o_joya">Poderes!$I$14:$AO$14</definedName>
    <definedName name="Objeto_Instrumento_musical">Poderes!$I$15:$AO$15</definedName>
    <definedName name="Objeto_Prenda_de_vestir">Poderes!$I$11:$AO$11</definedName>
    <definedName name="Origenes">Origen!$A$2:$A$10</definedName>
    <definedName name="Parahumano">Origen!$H$2:$H$5</definedName>
    <definedName name="PCs_Secuelas">'Historia y Personaje'!$B$2:$B$6</definedName>
    <definedName name="Pers_Secreta">'Historia y Personaje'!$L$17:$L$21</definedName>
    <definedName name="Personalidad">'Historia y Personaje'!$L$2:$L$12</definedName>
    <definedName name="Poderes">Poderes!$A$2:$A$54</definedName>
    <definedName name="Posición_económica">'Historia y Personaje'!$H$12:$H$18</definedName>
    <definedName name="Posición_Social">'Historia y Personaje'!$D$12:$D$16</definedName>
    <definedName name="Psíquico">Poderes!$I$16:$U$16</definedName>
    <definedName name="Psíquico_Energético">Poderes!$I$19:$AS$19</definedName>
    <definedName name="Psíquico_Fisíco">Poderes!$I$21:$AK$21</definedName>
    <definedName name="Rango">Poderes!$D$2:$D$6</definedName>
    <definedName name="Robot_gigante">Tecnoarmaduras!$B$4:$AA$4</definedName>
    <definedName name="Secuela">'Historia y Personaje'!$A$2:$A$14</definedName>
    <definedName name="Semidios">Poderes!$I$5:$Z$5</definedName>
    <definedName name="Servofibras">Origen!$E$40:$E$50</definedName>
    <definedName name="Situación_Legal">'Historia y Personaje'!$H$2:$H$6</definedName>
    <definedName name="Situación_pública">'Historia y Personaje'!$D$21:$D$27</definedName>
    <definedName name="Tamaño_Artefacto">Artefactos!$A$2:$A$8</definedName>
    <definedName name="Tecnoarmadura">Tecnoarmaduras!$B$2:$AA$2</definedName>
    <definedName name="Tecnológico">Origen!$I$2:$I$8</definedName>
    <definedName name="Tecnovehículo">Tecnoarmaduras!$B$5:$AA$5</definedName>
    <definedName name="Tes_Khar">Poderes!$I$25</definedName>
    <definedName name="Thals">Poderes!$I$26:$N$26</definedName>
    <definedName name="Tipo_base">'Historia y Personaje'!$A$20:$A$24</definedName>
    <definedName name="Vigilante">Origen!$J$2:$J$14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21" i="17" l="1"/>
  <c r="I20" i="17"/>
  <c r="C3" i="13"/>
  <c r="C4" i="13"/>
  <c r="C5" i="13"/>
  <c r="C6" i="13"/>
  <c r="C7" i="13"/>
  <c r="C8" i="13"/>
  <c r="C9" i="13"/>
  <c r="C10" i="13"/>
  <c r="C11" i="13"/>
  <c r="C12" i="13"/>
  <c r="C13" i="13"/>
  <c r="C14" i="13"/>
  <c r="C15" i="13"/>
  <c r="C16" i="13"/>
  <c r="C17" i="13"/>
  <c r="C18" i="13"/>
  <c r="C19" i="13"/>
  <c r="C20" i="13"/>
  <c r="C21" i="13"/>
  <c r="C22" i="13"/>
  <c r="C23" i="13"/>
  <c r="C24" i="13"/>
  <c r="C25" i="13"/>
  <c r="C2" i="13"/>
  <c r="I19" i="17"/>
  <c r="I18" i="17"/>
  <c r="I10" i="17"/>
  <c r="I5" i="17"/>
  <c r="BA18" i="8"/>
  <c r="AX18" i="8"/>
  <c r="AT18" i="8"/>
  <c r="AR18" i="8"/>
  <c r="AW25" i="8"/>
  <c r="AW24" i="8"/>
  <c r="AW23" i="8"/>
  <c r="AW22" i="8"/>
  <c r="AW21" i="8"/>
  <c r="AW20" i="8"/>
  <c r="AK9" i="8"/>
  <c r="AH9" i="8" s="1"/>
  <c r="F10" i="10" l="1"/>
  <c r="F9" i="10"/>
  <c r="F8" i="10"/>
  <c r="AS11" i="8"/>
  <c r="L21" i="17"/>
  <c r="L14" i="17"/>
  <c r="L13" i="17"/>
  <c r="L12" i="17"/>
  <c r="L11" i="17"/>
  <c r="L10" i="17"/>
  <c r="L9" i="17"/>
  <c r="L8" i="17"/>
  <c r="L7" i="17"/>
  <c r="M14" i="17"/>
  <c r="M13" i="17"/>
  <c r="M12" i="17"/>
  <c r="M11" i="17"/>
  <c r="M10" i="17"/>
  <c r="M9" i="17"/>
  <c r="M8" i="17"/>
  <c r="M7" i="17"/>
  <c r="I6" i="17"/>
  <c r="C53" i="8"/>
  <c r="C52" i="8"/>
  <c r="U11" i="8"/>
  <c r="AK10" i="8"/>
  <c r="AH10" i="8" s="1"/>
  <c r="AK8" i="8"/>
  <c r="AH8" i="8" s="1"/>
  <c r="AK7" i="8"/>
  <c r="AH7" i="8" s="1"/>
  <c r="M6" i="17"/>
  <c r="M5" i="17"/>
  <c r="N41" i="2"/>
  <c r="BW4" i="8"/>
  <c r="P5" i="17"/>
  <c r="P4" i="17"/>
  <c r="P3" i="17"/>
  <c r="P2" i="17"/>
  <c r="I17" i="17"/>
  <c r="I16" i="17"/>
  <c r="I15" i="17"/>
  <c r="I14" i="17"/>
  <c r="I9" i="17"/>
  <c r="H18" i="8"/>
  <c r="I8" i="17"/>
  <c r="D5" i="9"/>
  <c r="D3" i="9"/>
  <c r="D20" i="9"/>
  <c r="N25" i="8" l="1"/>
  <c r="N23" i="8"/>
  <c r="N22" i="8"/>
  <c r="F15" i="8" s="1"/>
  <c r="E15" i="8" s="1"/>
  <c r="E18" i="8" s="1"/>
  <c r="N21" i="8"/>
  <c r="N26" i="8"/>
  <c r="S37" i="2"/>
  <c r="Q37" i="2"/>
  <c r="P37" i="2"/>
  <c r="O37" i="2"/>
  <c r="N37" i="2"/>
  <c r="Q36" i="2"/>
  <c r="P36" i="2"/>
  <c r="O36" i="2"/>
  <c r="N36" i="2"/>
  <c r="S36" i="2"/>
  <c r="Q35" i="2"/>
  <c r="P35" i="2"/>
  <c r="O35" i="2"/>
  <c r="AK35" i="2"/>
  <c r="AK23" i="2"/>
  <c r="AB35" i="2"/>
  <c r="Q34" i="2"/>
  <c r="P34" i="2"/>
  <c r="O34" i="2"/>
  <c r="X34" i="2"/>
  <c r="AJ34" i="2"/>
  <c r="AJ23" i="2"/>
  <c r="M43" i="17"/>
  <c r="M39" i="17"/>
  <c r="AI33" i="2"/>
  <c r="AI23" i="2"/>
  <c r="AF33" i="2"/>
  <c r="AH33" i="2"/>
  <c r="AH23" i="2"/>
  <c r="AD33" i="2"/>
  <c r="AG33" i="2"/>
  <c r="AG23" i="2"/>
  <c r="AF32" i="2"/>
  <c r="AF23" i="2"/>
  <c r="AE32" i="2"/>
  <c r="AE23" i="2"/>
  <c r="S32" i="2"/>
  <c r="AD32" i="2"/>
  <c r="AD23" i="2"/>
  <c r="AC32" i="2"/>
  <c r="AC24" i="2" s="1"/>
  <c r="AC23" i="2"/>
  <c r="U32" i="2"/>
  <c r="Q31" i="2"/>
  <c r="P31" i="2"/>
  <c r="S31" i="2"/>
  <c r="Y31" i="2"/>
  <c r="AB31" i="2"/>
  <c r="AB23" i="2"/>
  <c r="AA30" i="2"/>
  <c r="Q30" i="2"/>
  <c r="P30" i="2"/>
  <c r="O30" i="2"/>
  <c r="AA23" i="2"/>
  <c r="Q29" i="2"/>
  <c r="P29" i="2"/>
  <c r="Z29" i="2"/>
  <c r="Y29" i="2"/>
  <c r="S29" i="2"/>
  <c r="O29" i="2"/>
  <c r="Z23" i="2"/>
  <c r="Y23" i="2"/>
  <c r="X28" i="2"/>
  <c r="W28" i="2"/>
  <c r="O28" i="2"/>
  <c r="Q28" i="2"/>
  <c r="P28" i="2"/>
  <c r="X23" i="2"/>
  <c r="W23" i="2"/>
  <c r="V27" i="2"/>
  <c r="U27" i="2"/>
  <c r="T27" i="2"/>
  <c r="S27" i="2"/>
  <c r="Q27" i="2"/>
  <c r="P27" i="2"/>
  <c r="V23" i="2"/>
  <c r="U23" i="2"/>
  <c r="T23" i="2"/>
  <c r="Q26" i="2"/>
  <c r="P26" i="2"/>
  <c r="O26" i="2"/>
  <c r="S26" i="2"/>
  <c r="M25" i="2"/>
  <c r="M24" i="2" s="1"/>
  <c r="N25" i="2"/>
  <c r="O25" i="2"/>
  <c r="P25" i="2"/>
  <c r="Q25" i="2"/>
  <c r="R26" i="2"/>
  <c r="S23" i="2"/>
  <c r="R23" i="2"/>
  <c r="Q23" i="2"/>
  <c r="P23" i="2"/>
  <c r="O23" i="2"/>
  <c r="N23" i="2"/>
  <c r="M23" i="2"/>
  <c r="L23" i="17"/>
  <c r="L22" i="17"/>
  <c r="I13" i="17" s="1"/>
  <c r="E12" i="8" s="1"/>
  <c r="I4" i="17"/>
  <c r="I3" i="17"/>
  <c r="D7" i="8"/>
  <c r="G12" i="8" l="1"/>
  <c r="F12" i="8" s="1"/>
  <c r="E8" i="8"/>
  <c r="AF24" i="2"/>
  <c r="N24" i="8" s="1"/>
  <c r="F16" i="8" s="1"/>
  <c r="E16" i="8" s="1"/>
  <c r="U24" i="2"/>
  <c r="X24" i="2"/>
  <c r="N24" i="2"/>
  <c r="AD24" i="2"/>
  <c r="Y24" i="2"/>
  <c r="AB24" i="2"/>
  <c r="D4" i="9" s="1"/>
  <c r="P24" i="2"/>
  <c r="S24" i="2"/>
  <c r="R24" i="2"/>
  <c r="T24" i="2"/>
  <c r="D21" i="9" s="1"/>
  <c r="W24" i="2"/>
  <c r="D6" i="9" s="1"/>
  <c r="Q24" i="2"/>
  <c r="Z24" i="2"/>
  <c r="D22" i="9" s="1"/>
  <c r="V24" i="2"/>
  <c r="D24" i="9" s="1"/>
  <c r="O24" i="2"/>
  <c r="AE24" i="2"/>
  <c r="D11" i="9" s="1"/>
  <c r="AA24" i="2"/>
  <c r="H20" i="8"/>
  <c r="AD29" i="8"/>
  <c r="AS46" i="8"/>
  <c r="AS45" i="8"/>
  <c r="AS44" i="8"/>
  <c r="AS43" i="8"/>
  <c r="AS42" i="8"/>
  <c r="AF46" i="8"/>
  <c r="AF45" i="8"/>
  <c r="AF44" i="8"/>
  <c r="AF43" i="8"/>
  <c r="AA46" i="8"/>
  <c r="AA45" i="8"/>
  <c r="AA44" i="8"/>
  <c r="AA43" i="8"/>
  <c r="AF42" i="8"/>
  <c r="AA42" i="8"/>
  <c r="BA37" i="8"/>
  <c r="AX37" i="8"/>
  <c r="AU37" i="8"/>
  <c r="AS37" i="8"/>
  <c r="AP37" i="8"/>
  <c r="AL37" i="8"/>
  <c r="BA36" i="8"/>
  <c r="AX36" i="8"/>
  <c r="AU36" i="8"/>
  <c r="AS36" i="8"/>
  <c r="AP36" i="8"/>
  <c r="AL36" i="8"/>
  <c r="BA35" i="8"/>
  <c r="AX35" i="8"/>
  <c r="AU35" i="8"/>
  <c r="AS35" i="8"/>
  <c r="AP35" i="8"/>
  <c r="AL35" i="8"/>
  <c r="AJ35" i="8"/>
  <c r="BA34" i="8"/>
  <c r="AX34" i="8"/>
  <c r="AU34" i="8"/>
  <c r="AS34" i="8"/>
  <c r="AP34" i="8"/>
  <c r="AL34" i="8"/>
  <c r="AJ37" i="8"/>
  <c r="AJ36" i="8"/>
  <c r="AJ34" i="8"/>
  <c r="BA33" i="8"/>
  <c r="AX33" i="8"/>
  <c r="AU33" i="8"/>
  <c r="AS33" i="8"/>
  <c r="AP33" i="8"/>
  <c r="AL33" i="8"/>
  <c r="AJ33" i="8"/>
  <c r="AF37" i="8"/>
  <c r="AF36" i="8"/>
  <c r="AF35" i="8"/>
  <c r="AF34" i="8"/>
  <c r="AF33" i="8"/>
  <c r="D2" i="9" l="1"/>
  <c r="E21" i="8"/>
  <c r="G27" i="8"/>
  <c r="F27" i="8" s="1"/>
  <c r="N27" i="8"/>
  <c r="AX29" i="8" s="1"/>
  <c r="AV29" i="8" s="1"/>
  <c r="E20" i="8"/>
  <c r="D12" i="8"/>
  <c r="BW5" i="8"/>
  <c r="B24" i="10"/>
  <c r="B6" i="10"/>
  <c r="B4" i="10"/>
  <c r="B32" i="10"/>
  <c r="C7" i="9"/>
  <c r="B7" i="9" s="1"/>
  <c r="H21" i="8"/>
  <c r="G46" i="8"/>
  <c r="G47" i="8"/>
  <c r="G48" i="8"/>
  <c r="G49" i="8"/>
  <c r="G50" i="8"/>
  <c r="G51" i="8"/>
  <c r="AK6" i="8" l="1"/>
  <c r="AH6" i="8" s="1"/>
  <c r="Y29" i="8"/>
  <c r="W29" i="8" s="1"/>
  <c r="AF29" i="8" s="1"/>
  <c r="O35" i="8"/>
  <c r="N35" i="8" s="1"/>
  <c r="O33" i="8"/>
  <c r="N33" i="8" s="1"/>
  <c r="N36" i="8"/>
  <c r="O31" i="8"/>
  <c r="N31" i="8" s="1"/>
  <c r="B5" i="10"/>
  <c r="B28" i="10"/>
  <c r="B30" i="10"/>
  <c r="B9" i="10"/>
  <c r="O30" i="8"/>
  <c r="N30" i="8" s="1"/>
  <c r="B12" i="10"/>
  <c r="B38" i="10"/>
  <c r="B14" i="10"/>
  <c r="B50" i="10"/>
  <c r="C8" i="9"/>
  <c r="B22" i="10"/>
  <c r="C9" i="9"/>
  <c r="B9" i="9" s="1"/>
  <c r="B23" i="10"/>
  <c r="C27" i="9"/>
  <c r="B27" i="9" s="1"/>
  <c r="C10" i="9"/>
  <c r="B10" i="9" s="1"/>
  <c r="B16" i="10"/>
  <c r="B31" i="10"/>
  <c r="B51" i="10"/>
  <c r="C6" i="9"/>
  <c r="C16" i="9"/>
  <c r="B16" i="9" s="1"/>
  <c r="B17" i="10"/>
  <c r="B25" i="10"/>
  <c r="B34" i="10"/>
  <c r="B52" i="10"/>
  <c r="C17" i="9"/>
  <c r="B17" i="9" s="1"/>
  <c r="B10" i="10"/>
  <c r="B18" i="10"/>
  <c r="B26" i="10"/>
  <c r="B36" i="10"/>
  <c r="B53" i="10"/>
  <c r="B15" i="10"/>
  <c r="C20" i="9"/>
  <c r="B20" i="9" s="1"/>
  <c r="B11" i="10"/>
  <c r="B19" i="10"/>
  <c r="B27" i="10"/>
  <c r="B37" i="10"/>
  <c r="B54" i="10"/>
  <c r="AK11" i="8" s="1"/>
  <c r="AH11" i="8" s="1"/>
  <c r="C28" i="9"/>
  <c r="B28" i="9" s="1"/>
  <c r="B20" i="10"/>
  <c r="B40" i="10"/>
  <c r="G33" i="8"/>
  <c r="G34" i="8"/>
  <c r="B3" i="10"/>
  <c r="B13" i="10"/>
  <c r="B21" i="10"/>
  <c r="B29" i="10"/>
  <c r="B39" i="10"/>
  <c r="G25" i="8"/>
  <c r="G35" i="8"/>
  <c r="C29" i="9"/>
  <c r="C2" i="9"/>
  <c r="G29" i="8"/>
  <c r="C3" i="9"/>
  <c r="B3" i="9" s="1"/>
  <c r="C11" i="9"/>
  <c r="B11" i="9" s="1"/>
  <c r="C21" i="9"/>
  <c r="B21" i="9" s="1"/>
  <c r="G30" i="8"/>
  <c r="C4" i="9"/>
  <c r="C12" i="9"/>
  <c r="B12" i="9" s="1"/>
  <c r="C23" i="9"/>
  <c r="B23" i="9" s="1"/>
  <c r="G31" i="8"/>
  <c r="C5" i="9"/>
  <c r="C13" i="9"/>
  <c r="B13" i="9" s="1"/>
  <c r="C24" i="9"/>
  <c r="B24" i="9" s="1"/>
  <c r="G53" i="8" s="1"/>
  <c r="G32" i="8"/>
  <c r="C14" i="9"/>
  <c r="B14" i="9" s="1"/>
  <c r="G52" i="8" s="1"/>
  <c r="C26" i="9"/>
  <c r="B26" i="9" s="1"/>
  <c r="C15" i="9"/>
  <c r="B15" i="9" s="1"/>
  <c r="C22" i="9"/>
  <c r="B22" i="9" s="1"/>
  <c r="G26" i="8"/>
  <c r="O32" i="8"/>
  <c r="N32" i="8" s="1"/>
  <c r="G36" i="8"/>
  <c r="G28" i="8"/>
  <c r="C25" i="9"/>
  <c r="B25" i="9" s="1"/>
  <c r="C18" i="9"/>
  <c r="B18" i="9" s="1"/>
  <c r="O34" i="8"/>
  <c r="N34" i="8" s="1"/>
  <c r="C19" i="9"/>
  <c r="B19" i="9" s="1"/>
  <c r="E19" i="8"/>
  <c r="H19" i="8"/>
  <c r="D162" i="5"/>
  <c r="D161" i="5"/>
  <c r="D160" i="5"/>
  <c r="D159" i="5"/>
  <c r="D158" i="5"/>
  <c r="D157" i="5"/>
  <c r="D156" i="5"/>
  <c r="D155" i="5"/>
  <c r="D154" i="5"/>
  <c r="D153" i="5"/>
  <c r="D152" i="5"/>
  <c r="D151" i="5"/>
  <c r="D150" i="5"/>
  <c r="D149" i="5"/>
  <c r="D148" i="5"/>
  <c r="D147" i="5"/>
  <c r="D146" i="5"/>
  <c r="D145" i="5"/>
  <c r="D144" i="5"/>
  <c r="D143" i="5"/>
  <c r="D142" i="5"/>
  <c r="D141" i="5"/>
  <c r="D140" i="5"/>
  <c r="D139" i="5"/>
  <c r="D138" i="5"/>
  <c r="D137" i="5"/>
  <c r="D136" i="5"/>
  <c r="D135" i="5"/>
  <c r="D134" i="5"/>
  <c r="D133" i="5"/>
  <c r="D132" i="5"/>
  <c r="D131" i="5"/>
  <c r="D130" i="5"/>
  <c r="D129" i="5"/>
  <c r="D128" i="5"/>
  <c r="D127" i="5"/>
  <c r="D126" i="5"/>
  <c r="D125" i="5"/>
  <c r="D124" i="5"/>
  <c r="D123" i="5"/>
  <c r="D122" i="5"/>
  <c r="D121" i="5"/>
  <c r="D120" i="5"/>
  <c r="D119" i="5"/>
  <c r="D118" i="5"/>
  <c r="D117" i="5"/>
  <c r="D116" i="5"/>
  <c r="D115" i="5"/>
  <c r="D114" i="5"/>
  <c r="D113" i="5"/>
  <c r="D112" i="5"/>
  <c r="D111" i="5"/>
  <c r="D110" i="5"/>
  <c r="D109" i="5"/>
  <c r="D108" i="5"/>
  <c r="D107" i="5"/>
  <c r="D106" i="5"/>
  <c r="D105" i="5"/>
  <c r="D104" i="5"/>
  <c r="D103" i="5"/>
  <c r="D102" i="5"/>
  <c r="D101" i="5"/>
  <c r="D100" i="5"/>
  <c r="D99" i="5"/>
  <c r="D98" i="5"/>
  <c r="D97" i="5"/>
  <c r="D96" i="5"/>
  <c r="D95" i="5"/>
  <c r="D94" i="5"/>
  <c r="D93" i="5"/>
  <c r="D92" i="5"/>
  <c r="D91" i="5"/>
  <c r="D90" i="5"/>
  <c r="D89" i="5"/>
  <c r="D88" i="5"/>
  <c r="D87" i="5"/>
  <c r="D86" i="5"/>
  <c r="D85" i="5"/>
  <c r="D84" i="5"/>
  <c r="D83" i="5"/>
  <c r="D82" i="5"/>
  <c r="D81" i="5"/>
  <c r="D80" i="5"/>
  <c r="D79" i="5"/>
  <c r="D78" i="5"/>
  <c r="D77" i="5"/>
  <c r="D76" i="5"/>
  <c r="D75" i="5"/>
  <c r="D74" i="5"/>
  <c r="D73" i="5"/>
  <c r="D72" i="5"/>
  <c r="D71" i="5"/>
  <c r="D70" i="5"/>
  <c r="D69" i="5"/>
  <c r="D68" i="5"/>
  <c r="D67" i="5"/>
  <c r="D66" i="5"/>
  <c r="D65" i="5"/>
  <c r="D64" i="5"/>
  <c r="D63" i="5"/>
  <c r="D62" i="5"/>
  <c r="D61" i="5"/>
  <c r="D60" i="5"/>
  <c r="D59" i="5"/>
  <c r="D58" i="5"/>
  <c r="D57" i="5"/>
  <c r="D56" i="5"/>
  <c r="D55" i="5"/>
  <c r="D54" i="5"/>
  <c r="D53" i="5"/>
  <c r="D52" i="5"/>
  <c r="D51" i="5"/>
  <c r="D50" i="5"/>
  <c r="D49" i="5"/>
  <c r="D48" i="5"/>
  <c r="D47" i="5"/>
  <c r="D46" i="5"/>
  <c r="D45" i="5"/>
  <c r="D44" i="5"/>
  <c r="D43" i="5"/>
  <c r="D42" i="5"/>
  <c r="D41" i="5"/>
  <c r="D40" i="5"/>
  <c r="D39" i="5"/>
  <c r="D38" i="5"/>
  <c r="D37" i="5"/>
  <c r="D36" i="5"/>
  <c r="D35" i="5"/>
  <c r="D34" i="5"/>
  <c r="D33" i="5"/>
  <c r="D32" i="5"/>
  <c r="D31" i="5"/>
  <c r="D30" i="5"/>
  <c r="D29" i="5"/>
  <c r="D28" i="5"/>
  <c r="D27" i="5"/>
  <c r="D26" i="5"/>
  <c r="D25" i="5"/>
  <c r="D24" i="5"/>
  <c r="D23" i="5"/>
  <c r="D22" i="5"/>
  <c r="D21" i="5"/>
  <c r="D20" i="5"/>
  <c r="D19" i="5"/>
  <c r="D18" i="5"/>
  <c r="D17" i="5"/>
  <c r="D16" i="5"/>
  <c r="D15" i="5"/>
  <c r="D14" i="5"/>
  <c r="D13" i="5"/>
  <c r="D12" i="5"/>
  <c r="D11" i="5"/>
  <c r="D10" i="5"/>
  <c r="D9" i="5"/>
  <c r="D8" i="5"/>
  <c r="D7" i="5"/>
  <c r="D6" i="5"/>
  <c r="D5" i="5"/>
  <c r="D4" i="5"/>
  <c r="D3" i="5"/>
  <c r="D2" i="5"/>
  <c r="AK4" i="8" l="1"/>
  <c r="AH4" i="8" s="1"/>
  <c r="F47" i="8" s="1"/>
  <c r="AK5" i="8"/>
  <c r="AH5" i="8" s="1"/>
  <c r="F52" i="8"/>
  <c r="F35" i="8"/>
  <c r="F48" i="8"/>
  <c r="F49" i="8"/>
  <c r="F50" i="8"/>
  <c r="F51" i="8"/>
  <c r="F46" i="8"/>
  <c r="F36" i="8"/>
  <c r="F31" i="8"/>
  <c r="F30" i="8"/>
  <c r="F29" i="8"/>
  <c r="F34" i="8"/>
  <c r="B2" i="9"/>
  <c r="G45" i="8"/>
  <c r="F45" i="8" s="1"/>
  <c r="B6" i="9"/>
  <c r="G44" i="8"/>
  <c r="F44" i="8" s="1"/>
  <c r="B4" i="9"/>
  <c r="G43" i="8" s="1"/>
  <c r="F43" i="8" s="1"/>
  <c r="B29" i="9"/>
  <c r="B8" i="9"/>
  <c r="B5" i="9"/>
  <c r="G42" i="8" s="1"/>
  <c r="F42" i="8" s="1"/>
  <c r="F26" i="8" l="1"/>
  <c r="F33" i="8"/>
  <c r="F53" i="8"/>
  <c r="F32" i="8"/>
  <c r="F28" i="8"/>
  <c r="F25" i="8"/>
  <c r="G40" i="8"/>
  <c r="F40" i="8" s="1"/>
  <c r="G41" i="8"/>
  <c r="F41" i="8"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Carlos</author>
  </authors>
  <commentList>
    <comment ref="U3" authorId="0" shapeId="0" xr:uid="{2203E5EF-1C7B-4687-8CE9-24857F5E6851}">
      <text>
        <r>
          <rPr>
            <sz val="9"/>
            <color indexed="81"/>
            <rFont val="Tahoma"/>
            <family val="2"/>
          </rPr>
          <t xml:space="preserve">- Las cinco primeras líneas muestras los poderes permitidos para el origen seleccionado.
- La penúltima y antepenúltima línea de poderes permiten seleccionar cualquier poder
- La última se rellena automáticamente en función del origen (aunque hay que seleccionar el rango)
</t>
        </r>
        <r>
          <rPr>
            <b/>
            <sz val="9"/>
            <color indexed="81"/>
            <rFont val="Tahoma"/>
            <family val="2"/>
          </rPr>
          <t xml:space="preserve">Superhabilidad:
- </t>
        </r>
        <r>
          <rPr>
            <sz val="9"/>
            <color indexed="81"/>
            <rFont val="Tahoma"/>
            <family val="2"/>
          </rPr>
          <t xml:space="preserve">Para que sume los valores correctamente hay que escribir en notas la habilidad que se potencia tal y como está escrita en la sección de habilidades. Si es de aprendizaje buscar la habilidad en el desplegable para ver el nombre.
</t>
        </r>
        <r>
          <rPr>
            <b/>
            <sz val="9"/>
            <color indexed="81"/>
            <rFont val="Tahoma"/>
            <family val="2"/>
          </rPr>
          <t>Mejora de poderes:</t>
        </r>
        <r>
          <rPr>
            <sz val="9"/>
            <color indexed="81"/>
            <rFont val="Tahoma"/>
            <family val="2"/>
          </rPr>
          <t xml:space="preserve">
- El rango de los poderes se considera el Inicial solamente. Si luego hay una mejora hay que indicar en el campo mejora el número de rangos que se ha mejorado y automáticamente calculará el coste en PC y la mejora del valor del mismo.</t>
        </r>
      </text>
    </comment>
    <comment ref="AQ3" authorId="0" shapeId="0" xr:uid="{5F44A137-68DA-4ECE-BCC5-5D20C6D5417B}">
      <text>
        <r>
          <rPr>
            <sz val="9"/>
            <color indexed="81"/>
            <rFont val="Tahoma"/>
            <family val="2"/>
          </rPr>
          <t>Personalización negativa poner PCs en negativo (Ej: -2)
Personalización positiva poner PCs en positivo (Ej: 2)</t>
        </r>
      </text>
    </comment>
    <comment ref="G9" authorId="0" shapeId="0" xr:uid="{C67BD5A3-8F50-4FED-B8E9-D459D4876A87}">
      <text>
        <r>
          <rPr>
            <b/>
            <sz val="9"/>
            <color indexed="81"/>
            <rFont val="Tahoma"/>
            <family val="2"/>
          </rPr>
          <t xml:space="preserve">Dioses:
- </t>
        </r>
        <r>
          <rPr>
            <u/>
            <sz val="9"/>
            <color indexed="81"/>
            <rFont val="Tahoma"/>
            <family val="2"/>
          </rPr>
          <t>Rellenar</t>
        </r>
        <r>
          <rPr>
            <sz val="9"/>
            <color indexed="81"/>
            <rFont val="Tahoma"/>
            <family val="2"/>
          </rPr>
          <t xml:space="preserve"> sumando los PC del coste del Foco. (0, -1, -2).
</t>
        </r>
        <r>
          <rPr>
            <b/>
            <sz val="9"/>
            <color indexed="81"/>
            <rFont val="Tahoma"/>
            <family val="2"/>
          </rPr>
          <t>Avatares cósmicos:</t>
        </r>
        <r>
          <rPr>
            <sz val="9"/>
            <color indexed="81"/>
            <rFont val="Tahoma"/>
            <family val="2"/>
          </rPr>
          <t xml:space="preserve">
- Añadidos 10 PCs automáticamente a "Ganados"
- Repartir 200 puntos entre Características (En la parte de mejoras)
</t>
        </r>
        <r>
          <rPr>
            <b/>
            <sz val="9"/>
            <color indexed="81"/>
            <rFont val="Tahoma"/>
            <family val="2"/>
          </rPr>
          <t xml:space="preserve">Heraldos cósmicos:
</t>
        </r>
        <r>
          <rPr>
            <sz val="9"/>
            <color indexed="81"/>
            <rFont val="Tahoma"/>
            <family val="2"/>
          </rPr>
          <t>- Añadidos 10 PCs automáticamente a "Ganados"
- Añadir 540 PXs para subir al personaje a lvl 10.
- Añadir 100 puntos a una característica (En la parte de mejoras)
- Repartir 100 entre Características (En la parte de mejoras)</t>
        </r>
        <r>
          <rPr>
            <b/>
            <sz val="9"/>
            <color indexed="81"/>
            <rFont val="Tahoma"/>
            <family val="2"/>
          </rPr>
          <t xml:space="preserve">
Guardian:</t>
        </r>
        <r>
          <rPr>
            <sz val="9"/>
            <color indexed="81"/>
            <rFont val="Tahoma"/>
            <family val="2"/>
          </rPr>
          <t xml:space="preserve"> 
- </t>
        </r>
        <r>
          <rPr>
            <u/>
            <sz val="9"/>
            <color indexed="81"/>
            <rFont val="Tahoma"/>
            <family val="2"/>
          </rPr>
          <t>Rellenar</t>
        </r>
        <r>
          <rPr>
            <sz val="9"/>
            <color indexed="81"/>
            <rFont val="Tahoma"/>
            <family val="2"/>
          </rPr>
          <t xml:space="preserve"> sumando los PC de la cualidad del Objeto.(-2, 0, 2).
</t>
        </r>
        <r>
          <rPr>
            <b/>
            <sz val="9"/>
            <color indexed="81"/>
            <rFont val="Tahoma"/>
            <family val="2"/>
          </rPr>
          <t>Alterado:</t>
        </r>
        <r>
          <rPr>
            <sz val="9"/>
            <color indexed="81"/>
            <rFont val="Tahoma"/>
            <family val="2"/>
          </rPr>
          <t xml:space="preserve">
- </t>
        </r>
        <r>
          <rPr>
            <u/>
            <sz val="9"/>
            <color indexed="81"/>
            <rFont val="Tahoma"/>
            <family val="2"/>
          </rPr>
          <t>Rellenar</t>
        </r>
        <r>
          <rPr>
            <sz val="9"/>
            <color indexed="81"/>
            <rFont val="Tahoma"/>
            <family val="2"/>
          </rPr>
          <t xml:space="preserve"> con 2 si el Agente del cambio es Tratamiento.
</t>
        </r>
        <r>
          <rPr>
            <b/>
            <sz val="9"/>
            <color indexed="81"/>
            <rFont val="Tahoma"/>
            <family val="2"/>
          </rPr>
          <t xml:space="preserve">
Vigilante: Fanático/Justiciero/Vengador
</t>
        </r>
        <r>
          <rPr>
            <sz val="9"/>
            <color indexed="81"/>
            <rFont val="Tahoma"/>
            <family val="2"/>
          </rPr>
          <t xml:space="preserve">- Añadidos 4 PCs automáticamente a "Ganados"
- Repartir 20 puntos entre FUE, CON, AGI, PER (En la parte de mejoras)
- Asignar 20 puntos a una sola habilidad (En la parte de mejoras)
</t>
        </r>
        <r>
          <rPr>
            <b/>
            <sz val="9"/>
            <color indexed="81"/>
            <rFont val="Tahoma"/>
            <family val="2"/>
          </rPr>
          <t xml:space="preserve">Vigilante: Militar
</t>
        </r>
        <r>
          <rPr>
            <sz val="9"/>
            <color indexed="81"/>
            <rFont val="Tahoma"/>
            <family val="2"/>
          </rPr>
          <t>- Añadidos 2 PCs automáticamente a "Ganados"</t>
        </r>
        <r>
          <rPr>
            <b/>
            <sz val="9"/>
            <color indexed="81"/>
            <rFont val="Tahoma"/>
            <family val="2"/>
          </rPr>
          <t xml:space="preserve">
</t>
        </r>
        <r>
          <rPr>
            <sz val="9"/>
            <color indexed="81"/>
            <rFont val="Tahoma"/>
            <family val="2"/>
          </rPr>
          <t xml:space="preserve">- Asignar  20 a Armas Cortas o Armas Largas (En la parte de mejoras)
</t>
        </r>
      </text>
    </comment>
    <comment ref="I12" authorId="0" shapeId="0" xr:uid="{E06A8321-14CE-4B82-8D17-4E19EF5A8D73}">
      <text>
        <r>
          <rPr>
            <b/>
            <sz val="9"/>
            <color indexed="81"/>
            <rFont val="Tahoma"/>
            <family val="2"/>
          </rPr>
          <t>Añadir manualmente:</t>
        </r>
        <r>
          <rPr>
            <sz val="9"/>
            <color indexed="81"/>
            <rFont val="Tahoma"/>
            <family val="2"/>
          </rPr>
          <t xml:space="preserve">
- Equipamiento
- Modificaciones de historial (No  la asignación inicial)
</t>
        </r>
        <r>
          <rPr>
            <b/>
            <sz val="9"/>
            <color indexed="81"/>
            <rFont val="Tahoma"/>
            <family val="2"/>
          </rPr>
          <t>Tecnológico: Módulos</t>
        </r>
        <r>
          <rPr>
            <sz val="9"/>
            <color indexed="81"/>
            <rFont val="Tahoma"/>
            <family val="2"/>
          </rPr>
          <t xml:space="preserve">
- En caso de seleccionar los módulos "Equipación de combate" o "Prototipo de alta tecnología" al ser el coste variable habría que añadir en valores negativos el coste en PC (Ej: -5)</t>
        </r>
      </text>
    </comment>
    <comment ref="BV36" authorId="0" shapeId="0" xr:uid="{77F6696D-3409-4BE5-A33E-049031EEFC8B}">
      <text>
        <r>
          <rPr>
            <sz val="9"/>
            <color indexed="81"/>
            <rFont val="Tahoma"/>
            <family val="2"/>
          </rPr>
          <t>Añadir el coste pertinente una vez repartido entre el grupo si procede</t>
        </r>
      </text>
    </comment>
    <comment ref="L38" authorId="0" shapeId="0" xr:uid="{428DBFA1-45DC-4014-A439-D1E4E904D889}">
      <text>
        <r>
          <rPr>
            <sz val="9"/>
            <color indexed="81"/>
            <rFont val="Tahoma"/>
            <family val="2"/>
          </rPr>
          <t xml:space="preserve">Para pérdida intelectual o alteración estética Añadir en Notas el número de puntos perdidos
</t>
        </r>
      </text>
    </comment>
    <comment ref="C39" authorId="0" shapeId="0" xr:uid="{DB3B1524-F60E-4D47-983B-48E8F206F86A}">
      <text>
        <r>
          <rPr>
            <sz val="9"/>
            <color indexed="81"/>
            <rFont val="Tahoma"/>
            <family val="2"/>
          </rPr>
          <t>- Las dos última sse rellenan automáticamente en función del origen</t>
        </r>
      </text>
    </comment>
  </commentList>
</comments>
</file>

<file path=xl/sharedStrings.xml><?xml version="1.0" encoding="utf-8"?>
<sst xmlns="http://schemas.openxmlformats.org/spreadsheetml/2006/main" count="2287" uniqueCount="766">
  <si>
    <t>Parada mental</t>
  </si>
  <si>
    <t>Fuerza</t>
  </si>
  <si>
    <t>Peso levantado</t>
  </si>
  <si>
    <t>1d4</t>
  </si>
  <si>
    <t>1d6</t>
  </si>
  <si>
    <t>1d8</t>
  </si>
  <si>
    <t>1d10</t>
  </si>
  <si>
    <t>1d10+2</t>
  </si>
  <si>
    <t>2d10+2</t>
  </si>
  <si>
    <t>2d10+4</t>
  </si>
  <si>
    <t>3d10+4</t>
  </si>
  <si>
    <t>3d10+6</t>
  </si>
  <si>
    <t>4d10+6</t>
  </si>
  <si>
    <t>4d10+8</t>
  </si>
  <si>
    <t>5d10+8</t>
  </si>
  <si>
    <t>5d10+10</t>
  </si>
  <si>
    <t>5d10+15</t>
  </si>
  <si>
    <t>5d10+20</t>
  </si>
  <si>
    <t>1d100+20</t>
  </si>
  <si>
    <t>1d100+21</t>
  </si>
  <si>
    <t>1d100+22</t>
  </si>
  <si>
    <t>1d100+23</t>
  </si>
  <si>
    <t>1d100+24</t>
  </si>
  <si>
    <t>1d100+25</t>
  </si>
  <si>
    <t>1d100+26</t>
  </si>
  <si>
    <t>1d100+27</t>
  </si>
  <si>
    <t>1d100+28</t>
  </si>
  <si>
    <t>1d100+29</t>
  </si>
  <si>
    <t>1d100+30</t>
  </si>
  <si>
    <t>1d100+31</t>
  </si>
  <si>
    <t>1d100+32</t>
  </si>
  <si>
    <t>1d100+33</t>
  </si>
  <si>
    <t>1d100+34</t>
  </si>
  <si>
    <t>1d100+35</t>
  </si>
  <si>
    <t>1d100+36</t>
  </si>
  <si>
    <t>1d100+37</t>
  </si>
  <si>
    <t>1d100+38</t>
  </si>
  <si>
    <t>1d100+39</t>
  </si>
  <si>
    <t>1d100+40</t>
  </si>
  <si>
    <t>1d100+41</t>
  </si>
  <si>
    <t>1d100+42</t>
  </si>
  <si>
    <t>1d100+43</t>
  </si>
  <si>
    <t>1d100+44</t>
  </si>
  <si>
    <t>1d100+45</t>
  </si>
  <si>
    <t>1d100+46</t>
  </si>
  <si>
    <t>1d100+47</t>
  </si>
  <si>
    <t>1d100+48</t>
  </si>
  <si>
    <t>1d100+49</t>
  </si>
  <si>
    <t>1d100+50</t>
  </si>
  <si>
    <t>1d100+51</t>
  </si>
  <si>
    <t>1d100+52</t>
  </si>
  <si>
    <t>1d100+53</t>
  </si>
  <si>
    <t>1d100+54</t>
  </si>
  <si>
    <t>1d100+55</t>
  </si>
  <si>
    <t>1d100+56</t>
  </si>
  <si>
    <t>1d100+57</t>
  </si>
  <si>
    <t>1d100+58</t>
  </si>
  <si>
    <t>1d100+59</t>
  </si>
  <si>
    <t>1d100+60</t>
  </si>
  <si>
    <t>1d100+61</t>
  </si>
  <si>
    <t>1d100+62</t>
  </si>
  <si>
    <t>1d100+63</t>
  </si>
  <si>
    <t>1d100+64</t>
  </si>
  <si>
    <t>1d100+65</t>
  </si>
  <si>
    <t>1d100+66</t>
  </si>
  <si>
    <t>1d100+67</t>
  </si>
  <si>
    <t>1d100+68</t>
  </si>
  <si>
    <t>1d100+69</t>
  </si>
  <si>
    <t>1d100+70</t>
  </si>
  <si>
    <t>1d100+71</t>
  </si>
  <si>
    <t>1d100+72</t>
  </si>
  <si>
    <t>1d100+73</t>
  </si>
  <si>
    <t>1d100+74</t>
  </si>
  <si>
    <t>1d100+75</t>
  </si>
  <si>
    <t>1d100+76</t>
  </si>
  <si>
    <t>1d100+77</t>
  </si>
  <si>
    <t>1d100+78</t>
  </si>
  <si>
    <t>1d100+79</t>
  </si>
  <si>
    <t>1d100+80</t>
  </si>
  <si>
    <t>1d100+81</t>
  </si>
  <si>
    <t>1d100+82</t>
  </si>
  <si>
    <t>1d100+83</t>
  </si>
  <si>
    <t>1d100+84</t>
  </si>
  <si>
    <t>1d100+85</t>
  </si>
  <si>
    <t>1d100+86</t>
  </si>
  <si>
    <t>1d100+87</t>
  </si>
  <si>
    <t>1d100+88</t>
  </si>
  <si>
    <t>1d100+89</t>
  </si>
  <si>
    <t>1d100+90</t>
  </si>
  <si>
    <t>1d100+91</t>
  </si>
  <si>
    <t>1d100+92</t>
  </si>
  <si>
    <t>1d100+93</t>
  </si>
  <si>
    <t>1d100+94</t>
  </si>
  <si>
    <t>1d100+95</t>
  </si>
  <si>
    <t>1d100+96</t>
  </si>
  <si>
    <t>1d100+97</t>
  </si>
  <si>
    <t>1d100+98</t>
  </si>
  <si>
    <t>1d100+99</t>
  </si>
  <si>
    <t>1d100+100</t>
  </si>
  <si>
    <t>Daño</t>
  </si>
  <si>
    <t>Mod Salto</t>
  </si>
  <si>
    <t>CON</t>
  </si>
  <si>
    <t>PV</t>
  </si>
  <si>
    <t>DA fisico</t>
  </si>
  <si>
    <t>Recuperacion PV/h</t>
  </si>
  <si>
    <t>AGI</t>
  </si>
  <si>
    <t>Parada fisica</t>
  </si>
  <si>
    <t>AxA</t>
  </si>
  <si>
    <t>Salto</t>
  </si>
  <si>
    <t>INT</t>
  </si>
  <si>
    <t>DA mental</t>
  </si>
  <si>
    <t>VOL</t>
  </si>
  <si>
    <t>Mod psiónico</t>
  </si>
  <si>
    <t>Nivel</t>
  </si>
  <si>
    <t>Puntos de Vida</t>
  </si>
  <si>
    <t>Inconsciencia</t>
  </si>
  <si>
    <t>Alias:</t>
  </si>
  <si>
    <t>Res Prejuicios</t>
  </si>
  <si>
    <t>FUERZA</t>
  </si>
  <si>
    <t>Iniciativa-reflejos</t>
  </si>
  <si>
    <t>CONSTITUCIÓN</t>
  </si>
  <si>
    <t>AGILIDAD</t>
  </si>
  <si>
    <t>INTELIGENCIA</t>
  </si>
  <si>
    <t>Acechar/Discreción</t>
  </si>
  <si>
    <t>PERCEPCIÓN</t>
  </si>
  <si>
    <t>Combate Cuerpo a Cuerpo</t>
  </si>
  <si>
    <t>APARIENCIA</t>
  </si>
  <si>
    <t>Conocimientos Generales</t>
  </si>
  <si>
    <t>VOLUNTAD</t>
  </si>
  <si>
    <t>Esconderse</t>
  </si>
  <si>
    <t>Idea</t>
  </si>
  <si>
    <t>Daño abs Fisico</t>
  </si>
  <si>
    <t>Influencia</t>
  </si>
  <si>
    <t>Daño abs Mental</t>
  </si>
  <si>
    <t>Idioma Nativo</t>
  </si>
  <si>
    <t>Mod de impacto</t>
  </si>
  <si>
    <t>Investigar</t>
  </si>
  <si>
    <t>Mod psionico</t>
  </si>
  <si>
    <t>Lanzar</t>
  </si>
  <si>
    <t>Primeros Auxilios</t>
  </si>
  <si>
    <t>Suerte</t>
  </si>
  <si>
    <t>Salto (alto/largo)</t>
  </si>
  <si>
    <t>Trepar y Saltar</t>
  </si>
  <si>
    <t>Cibernética</t>
  </si>
  <si>
    <t>Computadora/Comunicaciones</t>
  </si>
  <si>
    <t>Ciencia</t>
  </si>
  <si>
    <t>Mecánica</t>
  </si>
  <si>
    <t>&lt;&lt;Nombre&gt;&gt;</t>
  </si>
  <si>
    <t>&lt;&lt;Profesión&gt;&gt;</t>
  </si>
  <si>
    <t>Mod daño (FUE)</t>
  </si>
  <si>
    <t>Peso Levantado</t>
  </si>
  <si>
    <t>-</t>
  </si>
  <si>
    <t>Acciones x Asalto</t>
  </si>
  <si>
    <t>HABILIDADES GENERALES</t>
  </si>
  <si>
    <t>HABILIDADES DE APRENDIZAJE</t>
  </si>
  <si>
    <t>Arcos/Ballestas</t>
  </si>
  <si>
    <t>Armas Cortas</t>
  </si>
  <si>
    <t>Armas Largas</t>
  </si>
  <si>
    <t>Armas Militares</t>
  </si>
  <si>
    <t>Armas Blancas</t>
  </si>
  <si>
    <t>Cerrajería</t>
  </si>
  <si>
    <t>Conducir Vehículo</t>
  </si>
  <si>
    <t>Explosivos</t>
  </si>
  <si>
    <t>Farmacología</t>
  </si>
  <si>
    <t>Medicina</t>
  </si>
  <si>
    <t>Medicina Especialidad</t>
  </si>
  <si>
    <t>Montar Animal</t>
  </si>
  <si>
    <t>Nadar/Bucear</t>
  </si>
  <si>
    <t>Rastrear</t>
  </si>
  <si>
    <t>Robar</t>
  </si>
  <si>
    <t>Trampas</t>
  </si>
  <si>
    <t>Supervivencia (Especificar)</t>
  </si>
  <si>
    <t>Arma Especial (Especificar)</t>
  </si>
  <si>
    <t>Otro Idioma (Especificar)</t>
  </si>
  <si>
    <t>* Artes Marciales</t>
  </si>
  <si>
    <t>* Forjador de Artefactos</t>
  </si>
  <si>
    <t>* Magia</t>
  </si>
  <si>
    <t>* Sistemas de Armamento</t>
  </si>
  <si>
    <t>* Tecnoarmadura/Tecnovehículo</t>
  </si>
  <si>
    <t>ORIGEN</t>
  </si>
  <si>
    <t>Divino</t>
  </si>
  <si>
    <t>Dios</t>
  </si>
  <si>
    <t>Semidios</t>
  </si>
  <si>
    <t>Cósmico</t>
  </si>
  <si>
    <t>Guardián</t>
  </si>
  <si>
    <t>Mutante</t>
  </si>
  <si>
    <t>Alterado</t>
  </si>
  <si>
    <t>Arcano</t>
  </si>
  <si>
    <t>Parahumano</t>
  </si>
  <si>
    <t>Tecnológico</t>
  </si>
  <si>
    <t>Vigilante</t>
  </si>
  <si>
    <t>Avatar</t>
  </si>
  <si>
    <t>Heraldo</t>
  </si>
  <si>
    <t>Psíquico</t>
  </si>
  <si>
    <t>Energético</t>
  </si>
  <si>
    <t>Físico</t>
  </si>
  <si>
    <t>Psíquico/Energético</t>
  </si>
  <si>
    <t>Energético/Físico</t>
  </si>
  <si>
    <t>Psíquico/Fisíco</t>
  </si>
  <si>
    <t>Accidental</t>
  </si>
  <si>
    <t>Experimental</t>
  </si>
  <si>
    <t>Atlante</t>
  </si>
  <si>
    <t>Tes-Khar</t>
  </si>
  <si>
    <t>Thals</t>
  </si>
  <si>
    <t>Híbrido</t>
  </si>
  <si>
    <t>Tecnoarmadura</t>
  </si>
  <si>
    <t>Cyborg</t>
  </si>
  <si>
    <t>I.A.</t>
  </si>
  <si>
    <t>Tecnovehículo</t>
  </si>
  <si>
    <t>Acróbata</t>
  </si>
  <si>
    <t>Arquero</t>
  </si>
  <si>
    <t>Cazador</t>
  </si>
  <si>
    <t>Espadachín</t>
  </si>
  <si>
    <t>Francotirador</t>
  </si>
  <si>
    <t>Manipulador</t>
  </si>
  <si>
    <t>Militar</t>
  </si>
  <si>
    <t>Pistolero</t>
  </si>
  <si>
    <t>Nombre:</t>
  </si>
  <si>
    <t>Origen:</t>
  </si>
  <si>
    <t>Profesión:</t>
  </si>
  <si>
    <t>DETALLE ORIGEN</t>
  </si>
  <si>
    <t>Habilidad</t>
  </si>
  <si>
    <t>Inicial</t>
  </si>
  <si>
    <t>Mejoras</t>
  </si>
  <si>
    <t>Total</t>
  </si>
  <si>
    <t>Notas</t>
  </si>
  <si>
    <t>Res Ven. y Gas</t>
  </si>
  <si>
    <t>Rec. PV/h</t>
  </si>
  <si>
    <t>DERIVADOS</t>
  </si>
  <si>
    <t>Poderes</t>
  </si>
  <si>
    <t>Valor</t>
  </si>
  <si>
    <t>Rango</t>
  </si>
  <si>
    <t>Absorción de energía</t>
  </si>
  <si>
    <t>Bajo</t>
  </si>
  <si>
    <t>Control del fuego</t>
  </si>
  <si>
    <t>Ataque especial</t>
  </si>
  <si>
    <t>Agresión psiónica</t>
  </si>
  <si>
    <t>Absorción de poderes</t>
  </si>
  <si>
    <t>Medio</t>
  </si>
  <si>
    <t>Control del agua</t>
  </si>
  <si>
    <t>Blindaje natural</t>
  </si>
  <si>
    <t>Dominación mental</t>
  </si>
  <si>
    <t>Campo de fuerza</t>
  </si>
  <si>
    <t>Absorción de vida</t>
  </si>
  <si>
    <t>Elevado</t>
  </si>
  <si>
    <t>Congelación</t>
  </si>
  <si>
    <t>Anulación de poderes</t>
  </si>
  <si>
    <t>Cambio de estado</t>
  </si>
  <si>
    <t>Empatía animal</t>
  </si>
  <si>
    <t>Alto</t>
  </si>
  <si>
    <t>Control de la geodinámica</t>
  </si>
  <si>
    <t>Cambio de densidad</t>
  </si>
  <si>
    <t>Cambio de tamaño</t>
  </si>
  <si>
    <t>Empatía mental</t>
  </si>
  <si>
    <t>Elasticidad</t>
  </si>
  <si>
    <t>Empatía tecnológica</t>
  </si>
  <si>
    <t>Telepatía</t>
  </si>
  <si>
    <t>Control de la vegetación</t>
  </si>
  <si>
    <t>Incremento vital</t>
  </si>
  <si>
    <t>Postcognición</t>
  </si>
  <si>
    <t>Telequinesis</t>
  </si>
  <si>
    <t>Multiformidad</t>
  </si>
  <si>
    <t>Precognición</t>
  </si>
  <si>
    <t>Donación de vida</t>
  </si>
  <si>
    <t>Control de energía</t>
  </si>
  <si>
    <t>Plasticidad</t>
  </si>
  <si>
    <t>Superhabilidad</t>
  </si>
  <si>
    <t>Cambio de la densidad</t>
  </si>
  <si>
    <t>Control del clima</t>
  </si>
  <si>
    <t xml:space="preserve">Polilocación </t>
  </si>
  <si>
    <t>Superinteligencia</t>
  </si>
  <si>
    <t>Teleportación</t>
  </si>
  <si>
    <t>Control de la probabilidad</t>
  </si>
  <si>
    <t>Regeneración de tejidos</t>
  </si>
  <si>
    <t>Supervelocidad</t>
  </si>
  <si>
    <t>Superagilidad</t>
  </si>
  <si>
    <t>Superfuerza</t>
  </si>
  <si>
    <t>Control de las moléculas ajenas</t>
  </si>
  <si>
    <t>Superapariencia</t>
  </si>
  <si>
    <t>Traducción de lenguas</t>
  </si>
  <si>
    <t>Superconstitución</t>
  </si>
  <si>
    <t>Volar</t>
  </si>
  <si>
    <t>Superpercepción</t>
  </si>
  <si>
    <t>Emisión de energía</t>
  </si>
  <si>
    <t>Control del organismo</t>
  </si>
  <si>
    <t>Control de moléculas ajenas</t>
  </si>
  <si>
    <t>Control de agua</t>
  </si>
  <si>
    <t>Invulnerabilidad</t>
  </si>
  <si>
    <t>Explosividad</t>
  </si>
  <si>
    <t xml:space="preserve">Fusión </t>
  </si>
  <si>
    <t>Grito sónico</t>
  </si>
  <si>
    <t>Fusión</t>
  </si>
  <si>
    <t>Invisibilidad</t>
  </si>
  <si>
    <t>Empatía tecnologíca</t>
  </si>
  <si>
    <t>Incremento Vital</t>
  </si>
  <si>
    <t>Polilocación</t>
  </si>
  <si>
    <t>Exoesqueleto_energético</t>
  </si>
  <si>
    <t>Robot_gigante</t>
  </si>
  <si>
    <t>Inventor_forjador</t>
  </si>
  <si>
    <t>Mente_Maestra</t>
  </si>
  <si>
    <t>Artista_Marcial</t>
  </si>
  <si>
    <t>Artista_Marcial_con_Chi</t>
  </si>
  <si>
    <t>PODERES</t>
  </si>
  <si>
    <t>Dios_menor</t>
  </si>
  <si>
    <t>Superhabilidad: Nadar</t>
  </si>
  <si>
    <t>Superhabilidad: Idioma nativo</t>
  </si>
  <si>
    <t>Sin poderes</t>
  </si>
  <si>
    <t>Campo de fuerza: Telequinético</t>
  </si>
  <si>
    <t>Tes_Khar</t>
  </si>
  <si>
    <t>NOTAS</t>
  </si>
  <si>
    <t>VALOR</t>
  </si>
  <si>
    <t>MEJORA</t>
  </si>
  <si>
    <t>Actual</t>
  </si>
  <si>
    <t>Abrir portales</t>
  </si>
  <si>
    <t>Animar objetos</t>
  </si>
  <si>
    <t>Anular conjuros</t>
  </si>
  <si>
    <t>Cadenas del Tártaro</t>
  </si>
  <si>
    <t>Controlar espíritu</t>
  </si>
  <si>
    <t>Crear ilusiones</t>
  </si>
  <si>
    <t>Curación</t>
  </si>
  <si>
    <t>Encantar objetos</t>
  </si>
  <si>
    <t>Envejecimiento acelerado</t>
  </si>
  <si>
    <t>Escudos místicos</t>
  </si>
  <si>
    <t>Invocar animales</t>
  </si>
  <si>
    <t>Maestría</t>
  </si>
  <si>
    <t>Invocar elemento</t>
  </si>
  <si>
    <t>Invocar espíritu</t>
  </si>
  <si>
    <t>Invocar espíritu totémico</t>
  </si>
  <si>
    <t>Levitar</t>
  </si>
  <si>
    <t>Metamorfosis oscura</t>
  </si>
  <si>
    <t>Percepción mágica</t>
  </si>
  <si>
    <t>Proyección de energía mágica</t>
  </si>
  <si>
    <t>Proyección del cuerpo astral</t>
  </si>
  <si>
    <t>Pseudo psi</t>
  </si>
  <si>
    <t>Revivir muertos</t>
  </si>
  <si>
    <t>Transformar materiales</t>
  </si>
  <si>
    <t>Vedar entrada</t>
  </si>
  <si>
    <t>HECHIZOS</t>
  </si>
  <si>
    <t>Protección</t>
  </si>
  <si>
    <t>Hechizos</t>
  </si>
  <si>
    <t>NIVEL</t>
  </si>
  <si>
    <t>Origen / Módulos</t>
  </si>
  <si>
    <t>Localizaciones</t>
  </si>
  <si>
    <t>Cabeza</t>
  </si>
  <si>
    <t>Brazo derecho</t>
  </si>
  <si>
    <t>Brazo izquierdo</t>
  </si>
  <si>
    <t>Pecho</t>
  </si>
  <si>
    <t>Abdomen</t>
  </si>
  <si>
    <t>Pierna derecha</t>
  </si>
  <si>
    <t>Pierna izquierda</t>
  </si>
  <si>
    <t>Ninguno</t>
  </si>
  <si>
    <t>Alta autonomía</t>
  </si>
  <si>
    <t>Amortiguador cinético</t>
  </si>
  <si>
    <t>Autodestrucción</t>
  </si>
  <si>
    <t>Autoreparado</t>
  </si>
  <si>
    <t>Camuflaje</t>
  </si>
  <si>
    <t>Camuflaje avanzado</t>
  </si>
  <si>
    <t>Computadora táctica</t>
  </si>
  <si>
    <t>Comunicaciones</t>
  </si>
  <si>
    <t>Comunicaciones avanzadas</t>
  </si>
  <si>
    <t>Condiciones extremas</t>
  </si>
  <si>
    <t>Control automático</t>
  </si>
  <si>
    <t>Equipación de combate</t>
  </si>
  <si>
    <t>Escudo energético</t>
  </si>
  <si>
    <t>Impulsor baja potencia</t>
  </si>
  <si>
    <t>Impulsor media potencia</t>
  </si>
  <si>
    <t>Impulsor alta potencia</t>
  </si>
  <si>
    <t>Impulsor silencioso</t>
  </si>
  <si>
    <t>Magnetizador</t>
  </si>
  <si>
    <t>Rayo tractor</t>
  </si>
  <si>
    <t>Medidas electrónicas</t>
  </si>
  <si>
    <t>Protección refractante</t>
  </si>
  <si>
    <t>Protección contra ondas sonoras</t>
  </si>
  <si>
    <t>Prototipo de alta tecnología</t>
  </si>
  <si>
    <t>Sensores</t>
  </si>
  <si>
    <t>Sensores avanzados</t>
  </si>
  <si>
    <t>Soporte Vital</t>
  </si>
  <si>
    <t>Cyborg: Endoesqueleto</t>
  </si>
  <si>
    <t>Cyborg: Endomúsculos</t>
  </si>
  <si>
    <t>Cyborg: Endomúsculos avanzados</t>
  </si>
  <si>
    <t>Cyborg: Hiperactividad</t>
  </si>
  <si>
    <t>Cyborg: Memoria artificial</t>
  </si>
  <si>
    <t>Cyborg: Percepción aumentada</t>
  </si>
  <si>
    <t>MÓDULOS</t>
  </si>
  <si>
    <t>LOCALIZACIÓN</t>
  </si>
  <si>
    <t>Impacto</t>
  </si>
  <si>
    <t>19 a 20</t>
  </si>
  <si>
    <t>16 a 18</t>
  </si>
  <si>
    <t>13 a 15</t>
  </si>
  <si>
    <t>10 a 12</t>
  </si>
  <si>
    <t>7 a 9</t>
  </si>
  <si>
    <t>4 a 6</t>
  </si>
  <si>
    <t>1 a 3</t>
  </si>
  <si>
    <t>1D20</t>
  </si>
  <si>
    <t>Modelo</t>
  </si>
  <si>
    <t>Daño + Pot</t>
  </si>
  <si>
    <t>DxA</t>
  </si>
  <si>
    <t>Cargador</t>
  </si>
  <si>
    <t>Recarga</t>
  </si>
  <si>
    <t>Q</t>
  </si>
  <si>
    <t>DC</t>
  </si>
  <si>
    <t>DM</t>
  </si>
  <si>
    <t>DL</t>
  </si>
  <si>
    <t>Pistola media</t>
  </si>
  <si>
    <t>2d10+8</t>
  </si>
  <si>
    <t>1 Acc</t>
  </si>
  <si>
    <t>0 a 2</t>
  </si>
  <si>
    <t>2 a 5</t>
  </si>
  <si>
    <t>6 a 20</t>
  </si>
  <si>
    <t>21 a 40</t>
  </si>
  <si>
    <t>Pistola potente</t>
  </si>
  <si>
    <t>2d10+24</t>
  </si>
  <si>
    <t>Pistola altas prestaciones</t>
  </si>
  <si>
    <t>2d10+29</t>
  </si>
  <si>
    <t>Revolver medio</t>
  </si>
  <si>
    <t>(1d10x2)+16</t>
  </si>
  <si>
    <t>2 Acc</t>
  </si>
  <si>
    <t>Revolver potente</t>
  </si>
  <si>
    <t>(1d10x2)+20</t>
  </si>
  <si>
    <t>Revolver altas prestaciones</t>
  </si>
  <si>
    <t>(1d10x2)+26</t>
  </si>
  <si>
    <t>Escopeta media</t>
  </si>
  <si>
    <t>3d10+23</t>
  </si>
  <si>
    <t>3 Acc</t>
  </si>
  <si>
    <t>6 a 15</t>
  </si>
  <si>
    <t>15 a 30</t>
  </si>
  <si>
    <t>Escopeta potente</t>
  </si>
  <si>
    <t>3d10+30</t>
  </si>
  <si>
    <t>Escopeta altas prestaciones</t>
  </si>
  <si>
    <t>3d10+40</t>
  </si>
  <si>
    <t>Rifle medio</t>
  </si>
  <si>
    <t>(2d10x2)+24</t>
  </si>
  <si>
    <t>2 a 175</t>
  </si>
  <si>
    <t>176 a 350</t>
  </si>
  <si>
    <t>351 a 900</t>
  </si>
  <si>
    <t>Rifle potente</t>
  </si>
  <si>
    <t>(2d10x2)+28</t>
  </si>
  <si>
    <t>Rifle altas prestaciones</t>
  </si>
  <si>
    <t>(2d10x2)+32</t>
  </si>
  <si>
    <t>Subfusil medio</t>
  </si>
  <si>
    <t>(1d10x2)+50</t>
  </si>
  <si>
    <t>Esp.</t>
  </si>
  <si>
    <t>2 a 20</t>
  </si>
  <si>
    <t>41 a 60</t>
  </si>
  <si>
    <t>Subfusil potente</t>
  </si>
  <si>
    <t>(1d10x2)+59</t>
  </si>
  <si>
    <t>Subfusil altas prestaciones</t>
  </si>
  <si>
    <t>(1d10x2)+70</t>
  </si>
  <si>
    <t>Fusil de asalto medio</t>
  </si>
  <si>
    <t>(1d10x3)+55</t>
  </si>
  <si>
    <t>2 a 80</t>
  </si>
  <si>
    <t>81 a 150</t>
  </si>
  <si>
    <t>151 a 300</t>
  </si>
  <si>
    <t>Fusil de asalto potente</t>
  </si>
  <si>
    <t>(1d10x3)+60</t>
  </si>
  <si>
    <t>Fusil de asalto altas prestaciones</t>
  </si>
  <si>
    <t>(1d10x3)+63</t>
  </si>
  <si>
    <t>Ametralladora media</t>
  </si>
  <si>
    <t>(1d10x5)+75</t>
  </si>
  <si>
    <t>2 a 50</t>
  </si>
  <si>
    <t>51 a 200</t>
  </si>
  <si>
    <t>201 a 800</t>
  </si>
  <si>
    <t>Ametralladora potente</t>
  </si>
  <si>
    <t>(1d10x5)+85</t>
  </si>
  <si>
    <t>Ametralladora altas prestaciones</t>
  </si>
  <si>
    <t>(1d10x5)+90</t>
  </si>
  <si>
    <t>ARMAS DE FUEGO</t>
  </si>
  <si>
    <t>Daño+Pot</t>
  </si>
  <si>
    <t>*DxA=Disparo por asalto, Q=Quemarropa, DC=Distancia Corta, DM=Distancia  Media, DL=Distancia Larga</t>
  </si>
  <si>
    <t>Arma</t>
  </si>
  <si>
    <t>Material</t>
  </si>
  <si>
    <t>Mod. Mat.</t>
  </si>
  <si>
    <t>Tipo</t>
  </si>
  <si>
    <t>Daño Base</t>
  </si>
  <si>
    <t>ARMAS BLANCAS Y ARROJADIZAS</t>
  </si>
  <si>
    <t>Improvisada</t>
  </si>
  <si>
    <t>Maza</t>
  </si>
  <si>
    <t>Martillo</t>
  </si>
  <si>
    <t>Bastón</t>
  </si>
  <si>
    <t>Tonfa</t>
  </si>
  <si>
    <t>Martillo de guerra</t>
  </si>
  <si>
    <t>Espada</t>
  </si>
  <si>
    <t>Florete</t>
  </si>
  <si>
    <t>Hacha</t>
  </si>
  <si>
    <t>Lanza</t>
  </si>
  <si>
    <t>Katana</t>
  </si>
  <si>
    <t>Mandoble</t>
  </si>
  <si>
    <t>Garras</t>
  </si>
  <si>
    <t>Hacha de guerra</t>
  </si>
  <si>
    <t>Navaja</t>
  </si>
  <si>
    <t>Puñal</t>
  </si>
  <si>
    <t>Cuchillo</t>
  </si>
  <si>
    <t>Flecha</t>
  </si>
  <si>
    <t>Shuriken</t>
  </si>
  <si>
    <t>Varios</t>
  </si>
  <si>
    <t>Contundente</t>
  </si>
  <si>
    <t>Blanca</t>
  </si>
  <si>
    <t>2d10</t>
  </si>
  <si>
    <t>2d6</t>
  </si>
  <si>
    <t>3d10</t>
  </si>
  <si>
    <t>Hueso/Uña</t>
  </si>
  <si>
    <t>Madera</t>
  </si>
  <si>
    <t>Piedra/Hierro</t>
  </si>
  <si>
    <t>Acero</t>
  </si>
  <si>
    <t>Aleaciones superresistentes</t>
  </si>
  <si>
    <t>Zynex</t>
  </si>
  <si>
    <t>Optimun o Strenium</t>
  </si>
  <si>
    <t>Tipo Daño</t>
  </si>
  <si>
    <t>Daño base</t>
  </si>
  <si>
    <t>NOTAS ADICIONALES</t>
  </si>
  <si>
    <t>Notas adicionales
Alt+Enter para hacer un salto de línea</t>
  </si>
  <si>
    <t>Tamaño</t>
  </si>
  <si>
    <t>Edificio/Sala</t>
  </si>
  <si>
    <t>Avión, Camión</t>
  </si>
  <si>
    <t>Coche, Jet,</t>
  </si>
  <si>
    <t>Moto</t>
  </si>
  <si>
    <t>Mochila, Traje</t>
  </si>
  <si>
    <t>Pistola, Casco</t>
  </si>
  <si>
    <t>Anillo, Lentilla</t>
  </si>
  <si>
    <t>Coste en PCs</t>
  </si>
  <si>
    <t>Fiabilidad</t>
  </si>
  <si>
    <t>Nombre, Descripción, Fiabilidad, Fiabilidad</t>
  </si>
  <si>
    <t>PCs</t>
  </si>
  <si>
    <t>Libres</t>
  </si>
  <si>
    <t>Totales</t>
  </si>
  <si>
    <t>Iniciales</t>
  </si>
  <si>
    <t>PX Totales</t>
  </si>
  <si>
    <t>Beneficios PCs</t>
  </si>
  <si>
    <t>PXs</t>
  </si>
  <si>
    <t>Usados</t>
  </si>
  <si>
    <t>Nivel:</t>
  </si>
  <si>
    <t>Ganados</t>
  </si>
  <si>
    <t>PXs siguiente nivel</t>
  </si>
  <si>
    <t>Puntos de vida</t>
  </si>
  <si>
    <t>EQM</t>
  </si>
  <si>
    <t>Equilibrio mental</t>
  </si>
  <si>
    <t>Mejora</t>
  </si>
  <si>
    <t>CARACTERÍSTICAS</t>
  </si>
  <si>
    <t>Gastos extras</t>
  </si>
  <si>
    <t>Coste</t>
  </si>
  <si>
    <t>Cantidad</t>
  </si>
  <si>
    <t>Habilidades</t>
  </si>
  <si>
    <t>Base de operaciones</t>
  </si>
  <si>
    <t>Rango de poder (+20)</t>
  </si>
  <si>
    <t>Característica</t>
  </si>
  <si>
    <t>Resistencia Perjuicios</t>
  </si>
  <si>
    <t>GASTO DE PCs</t>
  </si>
  <si>
    <t>Gastados</t>
  </si>
  <si>
    <t>Perdido</t>
  </si>
  <si>
    <t>Origen</t>
  </si>
  <si>
    <t>2PC*</t>
  </si>
  <si>
    <t>0PC</t>
  </si>
  <si>
    <t>2PC</t>
  </si>
  <si>
    <t>Objeto_Anillo</t>
  </si>
  <si>
    <t>Objeto_Arma</t>
  </si>
  <si>
    <t>Objeto_Armadura</t>
  </si>
  <si>
    <t>Objeto_Prenda_de_vestir</t>
  </si>
  <si>
    <t>Objeto_Colgante</t>
  </si>
  <si>
    <t>Objeto_Estatuilla</t>
  </si>
  <si>
    <t>Objeto_Gema_o_joya</t>
  </si>
  <si>
    <t>Objeto_Instrumento_musical</t>
  </si>
  <si>
    <t>Detalle PCs Origen</t>
  </si>
  <si>
    <t>PCs Invertidos</t>
  </si>
  <si>
    <t>PCs Gastados</t>
  </si>
  <si>
    <t>PCs Ganados</t>
  </si>
  <si>
    <t>Psíquico_Energético</t>
  </si>
  <si>
    <t>Energético_Físico</t>
  </si>
  <si>
    <t>Espía_Ladrón</t>
  </si>
  <si>
    <t>Psíquico_Fisíco</t>
  </si>
  <si>
    <t>Fanático_Justiciero_Vengador</t>
  </si>
  <si>
    <t>SECUELAS</t>
  </si>
  <si>
    <t>Secuela</t>
  </si>
  <si>
    <t>Discapacidad</t>
  </si>
  <si>
    <t>Manía Compulsiva</t>
  </si>
  <si>
    <t>Prótesis</t>
  </si>
  <si>
    <t>Amnesia</t>
  </si>
  <si>
    <t>Pérdida Intelectual</t>
  </si>
  <si>
    <t>Signos Vitales ausentes</t>
  </si>
  <si>
    <t>Alteración estética</t>
  </si>
  <si>
    <t>Poder incontrolado</t>
  </si>
  <si>
    <t>Psicosis</t>
  </si>
  <si>
    <t>Fobia</t>
  </si>
  <si>
    <t>Depedencia</t>
  </si>
  <si>
    <t>Desplazamiento social</t>
  </si>
  <si>
    <t>Insociabilidad</t>
  </si>
  <si>
    <t>EM</t>
  </si>
  <si>
    <t>EM por Rango</t>
  </si>
  <si>
    <t>Gasto actual en ficha</t>
  </si>
  <si>
    <t>FUE</t>
  </si>
  <si>
    <t>PER</t>
  </si>
  <si>
    <t>APA</t>
  </si>
  <si>
    <t>MEJORAS POR ORIGEN</t>
  </si>
  <si>
    <t xml:space="preserve">Pendiente de añadir sección para creación de Tecnificados </t>
  </si>
  <si>
    <t>MAYOR</t>
  </si>
  <si>
    <t>Mendigo</t>
  </si>
  <si>
    <t>Clase baja</t>
  </si>
  <si>
    <t>Clase media-baja</t>
  </si>
  <si>
    <t>Clase media</t>
  </si>
  <si>
    <t>Clase media-alta</t>
  </si>
  <si>
    <t>Clase alta</t>
  </si>
  <si>
    <t>Multimillonario</t>
  </si>
  <si>
    <t>Posición_económica</t>
  </si>
  <si>
    <t>Amistades_Allegados</t>
  </si>
  <si>
    <t>Tipo solitario</t>
  </si>
  <si>
    <t>Solo familia</t>
  </si>
  <si>
    <t>Algún conocido</t>
  </si>
  <si>
    <t>Grupo de confianza (1d4)</t>
  </si>
  <si>
    <t>Lazos de amistad</t>
  </si>
  <si>
    <t>Situación_Legal</t>
  </si>
  <si>
    <t>Sin antecedentes</t>
  </si>
  <si>
    <t>Con antecedentes</t>
  </si>
  <si>
    <t>Buscado por la ley</t>
  </si>
  <si>
    <t>Enemigo público</t>
  </si>
  <si>
    <t>Terrorista mundial</t>
  </si>
  <si>
    <t>Supervillano</t>
  </si>
  <si>
    <t>Amenaza pública</t>
  </si>
  <si>
    <t>Anónimo</t>
  </si>
  <si>
    <t>Héroe del pueblo</t>
  </si>
  <si>
    <t>Heroe gubernamental</t>
  </si>
  <si>
    <t>Posición_Social</t>
  </si>
  <si>
    <t>Historia y origen conocidos</t>
  </si>
  <si>
    <t>Se difunden historias</t>
  </si>
  <si>
    <t>Situación_pública</t>
  </si>
  <si>
    <t>HISTORIAL CIVIL</t>
  </si>
  <si>
    <t>Pers. Secreta</t>
  </si>
  <si>
    <t>Personalidad</t>
  </si>
  <si>
    <t>Amb. Infantil</t>
  </si>
  <si>
    <t>Familia</t>
  </si>
  <si>
    <t>Amistades</t>
  </si>
  <si>
    <t>Situación legal</t>
  </si>
  <si>
    <t>Pos. Económica</t>
  </si>
  <si>
    <t>HISTORIAL METAHUMANO</t>
  </si>
  <si>
    <t>Pos. Social</t>
  </si>
  <si>
    <t>Pos. Pública</t>
  </si>
  <si>
    <t>Introvertido</t>
  </si>
  <si>
    <t>Extrovertido</t>
  </si>
  <si>
    <t>Maniático</t>
  </si>
  <si>
    <t>Calmado</t>
  </si>
  <si>
    <t>Apasionado</t>
  </si>
  <si>
    <t>Histérico</t>
  </si>
  <si>
    <t>Depresivo</t>
  </si>
  <si>
    <t>Racional</t>
  </si>
  <si>
    <t>Melancólico</t>
  </si>
  <si>
    <t>Frío y despiadado</t>
  </si>
  <si>
    <t>Equilibrado</t>
  </si>
  <si>
    <t>Opuesta a la real</t>
  </si>
  <si>
    <t>Fobias y filias desatadas</t>
  </si>
  <si>
    <t>Carácter y motivación iguales</t>
  </si>
  <si>
    <t>Sin personalidad secreta</t>
  </si>
  <si>
    <t>Tapadera eventual</t>
  </si>
  <si>
    <t>Pers_Secreta</t>
  </si>
  <si>
    <t>Ambiente_Infantil</t>
  </si>
  <si>
    <t>Situación eco. Difícil</t>
  </si>
  <si>
    <t>Criado en la calle</t>
  </si>
  <si>
    <t>Sufrió un trauma</t>
  </si>
  <si>
    <t>Infancia feliz</t>
  </si>
  <si>
    <t>Huerfano de un padre</t>
  </si>
  <si>
    <t>Huerfano de ambos</t>
  </si>
  <si>
    <t>Padres separados</t>
  </si>
  <si>
    <t>Padres en pareja</t>
  </si>
  <si>
    <t>Conocido poderoso</t>
  </si>
  <si>
    <t>Historia conocida</t>
  </si>
  <si>
    <t>Origen conocido</t>
  </si>
  <si>
    <t>Amigos conocen su historia</t>
  </si>
  <si>
    <t>migos conocen origen</t>
  </si>
  <si>
    <t>Misterio para todo el mundo</t>
  </si>
  <si>
    <t>Historial</t>
  </si>
  <si>
    <t>Extra Origen</t>
  </si>
  <si>
    <t>Valor base</t>
  </si>
  <si>
    <t>Envejecimiento nivel 11 (Habilidades y Características)</t>
  </si>
  <si>
    <t>Minus Origen</t>
  </si>
  <si>
    <t>MENOR</t>
  </si>
  <si>
    <t>PCs_Secuelas</t>
  </si>
  <si>
    <t>PODER</t>
  </si>
  <si>
    <t>RANGOS</t>
  </si>
  <si>
    <t>BAJO</t>
  </si>
  <si>
    <t>MEDIO</t>
  </si>
  <si>
    <t>ELEVADO</t>
  </si>
  <si>
    <t>ALTO</t>
  </si>
  <si>
    <t>CÓSMICO</t>
  </si>
  <si>
    <t>Nueva habilidad apr.</t>
  </si>
  <si>
    <t>Creación de PJ:</t>
  </si>
  <si>
    <t>PERS.</t>
  </si>
  <si>
    <t>TOTAL</t>
  </si>
  <si>
    <t>Mejoras pendientes</t>
  </si>
  <si>
    <t>Total calculado</t>
  </si>
  <si>
    <t>Personalización +</t>
  </si>
  <si>
    <t>Personalización -</t>
  </si>
  <si>
    <t>TECNOLÓGICOS</t>
  </si>
  <si>
    <t xml:space="preserve">Fuente de ingresos: </t>
  </si>
  <si>
    <t>Fuente de ingresos Tecnificados</t>
  </si>
  <si>
    <t>Ingresos propios</t>
  </si>
  <si>
    <t>Mecenas</t>
  </si>
  <si>
    <t>Compañía privada</t>
  </si>
  <si>
    <t>Agencia gubernamental</t>
  </si>
  <si>
    <t>Agencia privada</t>
  </si>
  <si>
    <t>Ingresos_Tecnificados</t>
  </si>
  <si>
    <t>Exoesqueleto</t>
  </si>
  <si>
    <t>Servofibras</t>
  </si>
  <si>
    <t>TABLAS TECNIFICADOS</t>
  </si>
  <si>
    <t>PV: 100 / D.A. FÍSICO: 50</t>
  </si>
  <si>
    <t>PV: 110 / D.A. FÍSICO: 60</t>
  </si>
  <si>
    <t>PV: 125 / D.A. FÍSICO: 75</t>
  </si>
  <si>
    <t>PV: 155 / D.A. FÍSICO: 105</t>
  </si>
  <si>
    <t>PV: 185 / D.A. FÍSICO: 135</t>
  </si>
  <si>
    <t>PV: 200 / D.A. FÍSICO: 150</t>
  </si>
  <si>
    <t>Exoesqueleto_Defensivo</t>
  </si>
  <si>
    <t>Exoesqueleto
energético</t>
  </si>
  <si>
    <t>DA Físico</t>
  </si>
  <si>
    <t>Emisión</t>
  </si>
  <si>
    <t>PC</t>
  </si>
  <si>
    <t>R (PV/h)</t>
  </si>
  <si>
    <t>pv</t>
  </si>
  <si>
    <t>DA</t>
  </si>
  <si>
    <t>Vel</t>
  </si>
  <si>
    <t>60/75</t>
  </si>
  <si>
    <t>75/90</t>
  </si>
  <si>
    <t>90/105</t>
  </si>
  <si>
    <t>105/120</t>
  </si>
  <si>
    <t>120/135</t>
  </si>
  <si>
    <t>135/150</t>
  </si>
  <si>
    <t>1d100</t>
  </si>
  <si>
    <t>0.5</t>
  </si>
  <si>
    <t>200 (Fiabilidad 80%)</t>
  </si>
  <si>
    <t>Torso</t>
  </si>
  <si>
    <t>Parte del cuerpo</t>
  </si>
  <si>
    <t>Cyborg_PV</t>
  </si>
  <si>
    <t>Cyborg_FUE</t>
  </si>
  <si>
    <t>PCS</t>
  </si>
  <si>
    <t>Carrocería</t>
  </si>
  <si>
    <t>Sistema</t>
  </si>
  <si>
    <t>Características</t>
  </si>
  <si>
    <t>Forjador de artefactos</t>
  </si>
  <si>
    <t>Tecnoarmadura
 / IA: Robot</t>
  </si>
  <si>
    <t>Habilidad especial</t>
  </si>
  <si>
    <t>Mejora_poderes</t>
  </si>
  <si>
    <t>RANGO (Ini)</t>
  </si>
  <si>
    <r>
      <rPr>
        <b/>
        <sz val="11"/>
        <color theme="1"/>
        <rFont val="Calibri"/>
        <family val="2"/>
        <scheme val="minor"/>
      </rPr>
      <t xml:space="preserve">Notas generales de la ficha:
</t>
    </r>
    <r>
      <rPr>
        <sz val="11"/>
        <color theme="1"/>
        <rFont val="Calibri"/>
        <family val="2"/>
        <scheme val="minor"/>
      </rPr>
      <t>- Solo están visibles las hojas de Notas y de Ficha, pero hay una serie de hojas adicionales que son las que conforman el grueso de la hoja. No están bloqueadas; pero modificarlas sin saber podría suponer que la hoja deje de funcionar tal y como está pensada.</t>
    </r>
    <r>
      <rPr>
        <b/>
        <sz val="11"/>
        <color theme="1"/>
        <rFont val="Calibri"/>
        <family val="2"/>
        <scheme val="minor"/>
      </rPr>
      <t xml:space="preserve">
Creación de personajes y conteo de PCs:
</t>
    </r>
    <r>
      <rPr>
        <u/>
        <sz val="11"/>
        <color theme="1"/>
        <rFont val="Calibri"/>
        <family val="2"/>
        <scheme val="minor"/>
      </rPr>
      <t>- Lo primero y más importante es relenar el campo llamado "Iniciales" (H12) con los PCs de los que se dispone para crear el personaje.</t>
    </r>
    <r>
      <rPr>
        <sz val="11"/>
        <color theme="1"/>
        <rFont val="Calibri"/>
        <family val="2"/>
        <scheme val="minor"/>
      </rPr>
      <t xml:space="preserve">
- La ficha rellena automáticamente los PCs que cuesta cada uno de los orígenes aunque hay algunas excepciones detalladas en un comentario de la celda "Detalle PCs Origen".
- El nivel de cada jugador se calcula automáticamente introduciendo los PXs ganados (hay una celda con los que faltan para llegar al siguiente nivel).
- Referente a los PCs solo hay que indicar los PCs iniciales para la creación del personaje. El resto de campos son autocalculados indicando los totales, los gastados, los libres y los ganados por diferentes motivos.
- Hay que añadir el número de habilidades de aprendizaje compradas durante la creación de personaje al campo "Creación PJ" de la sección de Habilidades de aprendizaje (Solo cuestan 1PC). Las adicionales que se añadan repercutirán 2PCs ya que se considerarán compradas con las subidas de nivel.
- Referente a la Energía Mágica (EM) lo único que hay que actualizar es la celda Mejoras con los PCs invertidos para obtener más puntos de EM. El resto lo calcula todo la ficha.
- El costo inicial de Amistades y allegados, Posición económica, Posición social y Situación legal se autocalcula. Pero cualquier cambio debe verse reflejado actualizando el valor del campo "Detalle PCs Origen" con la subida o bajada de PCs pertinente.
- El rango de los poderes se considera el Inicial solamente. Si luego hay una mejora hay que indicar en el campo mejora el número de rangos que se ha mejorado y automáticamente calculará el coste en PC y la mejora del valor del mismo.</t>
    </r>
  </si>
  <si>
    <t>Nombre</t>
  </si>
  <si>
    <t>ARTEFACTOS</t>
  </si>
  <si>
    <t>Fiablidad</t>
  </si>
  <si>
    <t>Descripción</t>
  </si>
  <si>
    <t>Tecnológicos</t>
  </si>
  <si>
    <t>Artefactos</t>
  </si>
  <si>
    <t>Base</t>
  </si>
  <si>
    <t>BASE</t>
  </si>
  <si>
    <t>Altas prestaciones</t>
  </si>
  <si>
    <t>Equipada</t>
  </si>
  <si>
    <t>Bajas prestaciones</t>
  </si>
  <si>
    <t>En bruto</t>
  </si>
  <si>
    <t>Tipo de base</t>
  </si>
  <si>
    <t>Tipo_base</t>
  </si>
  <si>
    <t>De lujo</t>
  </si>
  <si>
    <t>Descripción de la base</t>
  </si>
  <si>
    <t>Añadir descripción de la base</t>
  </si>
  <si>
    <t>Semidioses: Límites de características no funcionan</t>
  </si>
  <si>
    <t>Hechizos de Mago: El primer hechizo no puntua para el conteo de Energía mágica gastada</t>
  </si>
  <si>
    <t>Fallos actuales</t>
  </si>
  <si>
    <t>Fallos corregidos en la versión 1.0.1</t>
  </si>
  <si>
    <t>Mejoras_Internas_Cyborg</t>
  </si>
  <si>
    <t>No cuenta los PCs de los módulos</t>
  </si>
  <si>
    <t>Cyborg: Los endomusculos,  la percepción aumentada, etc no aumentan las características ni habilidades apropiadas</t>
  </si>
  <si>
    <t>SI.CONJUNTO(Tecnoarmaduras!A24=SI.ERROR(BUSCARV(Tecnoarmaduras!A24;BG4:BQ19;1;FALSO);"");Tecnoarmaduras!E24;VERDADERO;(</t>
  </si>
  <si>
    <t>Coste Módulos</t>
  </si>
  <si>
    <t>Módulos</t>
  </si>
  <si>
    <t>No cuenta los puntos de PCs de la Base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</si>
</sst>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 0;\-0;;@"/>
  </numFmts>
  <fonts count="10" x14ac:knownFonts="1">
    <font>
      <sz val="11"/>
      <color theme="1"/>
      <name val="Calibri"/>
      <family val="2"/>
      <scheme val="minor"/>
    </font>
    <font>
      <b/>
      <sz val="11"/>
      <color theme="1"/>
      <name val="Calibri"/>
      <family val="2"/>
      <scheme val="minor"/>
    </font>
    <font>
      <b/>
      <sz val="14"/>
      <color theme="1"/>
      <name val="Calibri"/>
      <family val="2"/>
      <scheme val="minor"/>
    </font>
    <font>
      <sz val="9"/>
      <color theme="1"/>
      <name val="Calibri"/>
      <family val="2"/>
      <scheme val="minor"/>
    </font>
    <font>
      <sz val="9"/>
      <color indexed="81"/>
      <name val="Tahoma"/>
      <family val="2"/>
    </font>
    <font>
      <b/>
      <sz val="9"/>
      <color indexed="81"/>
      <name val="Tahoma"/>
      <family val="2"/>
    </font>
    <font>
      <sz val="8"/>
      <color theme="1"/>
      <name val="Calibri"/>
      <family val="2"/>
      <scheme val="minor"/>
    </font>
    <font>
      <u/>
      <sz val="9"/>
      <color indexed="81"/>
      <name val="Tahoma"/>
      <family val="2"/>
    </font>
    <font>
      <u/>
      <sz val="11"/>
      <color theme="1"/>
      <name val="Calibri"/>
      <family val="2"/>
      <scheme val="minor"/>
    </font>
    <font>
      <sz val="8"/>
      <name val="Calibri"/>
      <family val="2"/>
      <scheme val="minor"/>
    </font>
  </fonts>
  <fills count="8">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rgb="FFFFC000"/>
        <bgColor indexed="64"/>
      </patternFill>
    </fill>
    <fill>
      <patternFill patternType="solid">
        <fgColor rgb="FF92D050"/>
        <bgColor indexed="64"/>
      </patternFill>
    </fill>
    <fill>
      <patternFill patternType="solid">
        <fgColor theme="0"/>
        <bgColor indexed="64"/>
      </patternFill>
    </fill>
    <fill>
      <patternFill patternType="solid">
        <fgColor theme="0" tint="-4.9989318521683403E-2"/>
        <bgColor indexed="64"/>
      </patternFill>
    </fill>
  </fills>
  <borders count="66">
    <border>
      <left/>
      <right/>
      <top/>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auto="1"/>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thin">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style="dashed">
        <color indexed="64"/>
      </bottom>
      <diagonal/>
    </border>
    <border>
      <left style="dashed">
        <color indexed="64"/>
      </left>
      <right style="thin">
        <color indexed="64"/>
      </right>
      <top style="dashed">
        <color indexed="64"/>
      </top>
      <bottom style="dashed">
        <color indexed="64"/>
      </bottom>
      <diagonal/>
    </border>
    <border>
      <left style="thin">
        <color indexed="64"/>
      </left>
      <right style="dashed">
        <color indexed="64"/>
      </right>
      <top style="dashed">
        <color indexed="64"/>
      </top>
      <bottom style="thin">
        <color indexed="64"/>
      </bottom>
      <diagonal/>
    </border>
    <border>
      <left style="dashed">
        <color indexed="64"/>
      </left>
      <right style="dashed">
        <color indexed="64"/>
      </right>
      <top style="dashed">
        <color indexed="64"/>
      </top>
      <bottom style="thin">
        <color indexed="64"/>
      </bottom>
      <diagonal/>
    </border>
    <border>
      <left style="dashed">
        <color indexed="64"/>
      </left>
      <right style="thin">
        <color indexed="64"/>
      </right>
      <top style="dashed">
        <color indexed="64"/>
      </top>
      <bottom style="thin">
        <color indexed="64"/>
      </bottom>
      <diagonal/>
    </border>
    <border>
      <left style="thin">
        <color indexed="64"/>
      </left>
      <right style="dashed">
        <color indexed="64"/>
      </right>
      <top style="thin">
        <color indexed="64"/>
      </top>
      <bottom style="dashed">
        <color indexed="64"/>
      </bottom>
      <diagonal/>
    </border>
    <border>
      <left style="dashed">
        <color indexed="64"/>
      </left>
      <right style="dashed">
        <color indexed="64"/>
      </right>
      <top style="thin">
        <color indexed="64"/>
      </top>
      <bottom style="dashed">
        <color indexed="64"/>
      </bottom>
      <diagonal/>
    </border>
    <border>
      <left style="dashed">
        <color indexed="64"/>
      </left>
      <right style="thin">
        <color indexed="64"/>
      </right>
      <top style="thin">
        <color indexed="64"/>
      </top>
      <bottom style="dashed">
        <color indexed="64"/>
      </bottom>
      <diagonal/>
    </border>
    <border>
      <left style="dashed">
        <color indexed="64"/>
      </left>
      <right/>
      <top style="thin">
        <color indexed="64"/>
      </top>
      <bottom style="dashed">
        <color indexed="64"/>
      </bottom>
      <diagonal/>
    </border>
    <border>
      <left/>
      <right/>
      <top style="thin">
        <color indexed="64"/>
      </top>
      <bottom style="dashed">
        <color indexed="64"/>
      </bottom>
      <diagonal/>
    </border>
    <border>
      <left/>
      <right style="dashed">
        <color indexed="64"/>
      </right>
      <top style="thin">
        <color indexed="64"/>
      </top>
      <bottom style="dashed">
        <color indexed="64"/>
      </bottom>
      <diagonal/>
    </border>
    <border>
      <left style="dashed">
        <color indexed="64"/>
      </left>
      <right/>
      <top style="dashed">
        <color indexed="64"/>
      </top>
      <bottom style="dashed">
        <color indexed="64"/>
      </bottom>
      <diagonal/>
    </border>
    <border>
      <left/>
      <right/>
      <top style="dashed">
        <color indexed="64"/>
      </top>
      <bottom style="dashed">
        <color indexed="64"/>
      </bottom>
      <diagonal/>
    </border>
    <border>
      <left/>
      <right style="dashed">
        <color indexed="64"/>
      </right>
      <top style="dashed">
        <color indexed="64"/>
      </top>
      <bottom style="dashed">
        <color indexed="64"/>
      </bottom>
      <diagonal/>
    </border>
    <border>
      <left style="thin">
        <color indexed="64"/>
      </left>
      <right/>
      <top style="dashed">
        <color indexed="64"/>
      </top>
      <bottom style="dashed">
        <color indexed="64"/>
      </bottom>
      <diagonal/>
    </border>
    <border>
      <left/>
      <right style="thin">
        <color indexed="64"/>
      </right>
      <top style="thin">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style="thin">
        <color indexed="64"/>
      </bottom>
      <diagonal/>
    </border>
    <border>
      <left/>
      <right style="dashed">
        <color indexed="64"/>
      </right>
      <top style="dashed">
        <color indexed="64"/>
      </top>
      <bottom style="thin">
        <color indexed="64"/>
      </bottom>
      <diagonal/>
    </border>
    <border>
      <left style="thin">
        <color indexed="64"/>
      </left>
      <right style="thin">
        <color indexed="64"/>
      </right>
      <top style="thin">
        <color indexed="64"/>
      </top>
      <bottom style="thin">
        <color indexed="64"/>
      </bottom>
      <diagonal/>
    </border>
    <border>
      <left/>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dashed">
        <color indexed="64"/>
      </left>
      <right/>
      <top style="dashed">
        <color indexed="64"/>
      </top>
      <bottom/>
      <diagonal/>
    </border>
    <border>
      <left/>
      <right style="thin">
        <color indexed="64"/>
      </right>
      <top style="dashed">
        <color indexed="64"/>
      </top>
      <bottom/>
      <diagonal/>
    </border>
    <border>
      <left style="thin">
        <color indexed="64"/>
      </left>
      <right/>
      <top style="thin">
        <color indexed="64"/>
      </top>
      <bottom style="dashed">
        <color indexed="64"/>
      </bottom>
      <diagonal/>
    </border>
    <border>
      <left style="dashed">
        <color indexed="64"/>
      </left>
      <right style="dashed">
        <color indexed="64"/>
      </right>
      <top/>
      <bottom style="dashed">
        <color indexed="64"/>
      </bottom>
      <diagonal/>
    </border>
    <border>
      <left style="dashed">
        <color indexed="64"/>
      </left>
      <right style="thin">
        <color indexed="64"/>
      </right>
      <top/>
      <bottom style="dashed">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ashed">
        <color indexed="64"/>
      </right>
      <top/>
      <bottom style="dashed">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otted">
        <color indexed="64"/>
      </left>
      <right style="dotted">
        <color indexed="64"/>
      </right>
      <top style="dotted">
        <color indexed="64"/>
      </top>
      <bottom style="dotted">
        <color indexed="64"/>
      </bottom>
      <diagonal/>
    </border>
    <border>
      <left/>
      <right style="thin">
        <color indexed="64"/>
      </right>
      <top style="dashed">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left style="dashed">
        <color indexed="64"/>
      </left>
      <right/>
      <top/>
      <bottom style="dashed">
        <color indexed="64"/>
      </bottom>
      <diagonal/>
    </border>
    <border>
      <left/>
      <right style="thin">
        <color indexed="64"/>
      </right>
      <top/>
      <bottom style="dashed">
        <color indexed="64"/>
      </bottom>
      <diagonal/>
    </border>
    <border>
      <left/>
      <right style="dashed">
        <color indexed="64"/>
      </right>
      <top/>
      <bottom/>
      <diagonal/>
    </border>
    <border>
      <left/>
      <right style="dashed">
        <color indexed="64"/>
      </right>
      <top style="thin">
        <color indexed="64"/>
      </top>
      <bottom/>
      <diagonal/>
    </border>
    <border>
      <left/>
      <right/>
      <top style="thin">
        <color indexed="64"/>
      </top>
      <bottom style="thin">
        <color indexed="64"/>
      </bottom>
      <diagonal/>
    </border>
    <border>
      <left/>
      <right style="dashed">
        <color indexed="64"/>
      </right>
      <top/>
      <bottom style="thin">
        <color indexed="64"/>
      </bottom>
      <diagonal/>
    </border>
  </borders>
  <cellStyleXfs count="1">
    <xf numFmtId="0" fontId="0" fillId="0" borderId="0"/>
  </cellStyleXfs>
  <cellXfs count="330">
    <xf numFmtId="0" fontId="0" fillId="0" borderId="0" xfId="0"/>
    <xf numFmtId="1" fontId="0" fillId="0" borderId="0" xfId="0" applyNumberFormat="1"/>
    <xf numFmtId="2" fontId="0" fillId="0" borderId="0" xfId="0" applyNumberFormat="1"/>
    <xf numFmtId="0" fontId="0" fillId="0" borderId="0" xfId="0" quotePrefix="1"/>
    <xf numFmtId="0" fontId="0" fillId="0" borderId="12" xfId="0" applyBorder="1"/>
    <xf numFmtId="0" fontId="0" fillId="0" borderId="5" xfId="0" applyBorder="1"/>
    <xf numFmtId="0" fontId="0" fillId="0" borderId="6" xfId="0" applyBorder="1"/>
    <xf numFmtId="0" fontId="0" fillId="0" borderId="7" xfId="0" applyBorder="1"/>
    <xf numFmtId="0" fontId="0" fillId="0" borderId="9" xfId="0" applyBorder="1"/>
    <xf numFmtId="0" fontId="0" fillId="0" borderId="0" xfId="0" applyBorder="1"/>
    <xf numFmtId="0" fontId="0" fillId="0" borderId="10" xfId="0" applyBorder="1"/>
    <xf numFmtId="0" fontId="0" fillId="0" borderId="11" xfId="0" applyBorder="1"/>
    <xf numFmtId="0" fontId="0" fillId="0" borderId="13" xfId="0" applyBorder="1"/>
    <xf numFmtId="0" fontId="1" fillId="0" borderId="0" xfId="0" applyFont="1" applyBorder="1"/>
    <xf numFmtId="1" fontId="0" fillId="0" borderId="18" xfId="0" applyNumberFormat="1" applyBorder="1" applyAlignment="1"/>
    <xf numFmtId="0" fontId="0" fillId="0" borderId="18" xfId="0" applyBorder="1"/>
    <xf numFmtId="0" fontId="1" fillId="0" borderId="18" xfId="0" applyFont="1" applyBorder="1"/>
    <xf numFmtId="0" fontId="1" fillId="0" borderId="23" xfId="0" applyFont="1" applyBorder="1"/>
    <xf numFmtId="0" fontId="1" fillId="0" borderId="17" xfId="0" applyFont="1" applyBorder="1"/>
    <xf numFmtId="0" fontId="0" fillId="0" borderId="1" xfId="0" applyBorder="1"/>
    <xf numFmtId="0" fontId="0" fillId="0" borderId="2" xfId="0" applyBorder="1"/>
    <xf numFmtId="0" fontId="0" fillId="0" borderId="3" xfId="0" applyBorder="1"/>
    <xf numFmtId="0" fontId="0" fillId="0" borderId="4" xfId="0" applyBorder="1"/>
    <xf numFmtId="0" fontId="0" fillId="0" borderId="8" xfId="0" applyBorder="1"/>
    <xf numFmtId="0" fontId="0" fillId="0" borderId="14" xfId="0" applyBorder="1"/>
    <xf numFmtId="0" fontId="0" fillId="0" borderId="15" xfId="0" applyBorder="1"/>
    <xf numFmtId="0" fontId="0" fillId="0" borderId="16" xfId="0" applyBorder="1"/>
    <xf numFmtId="0" fontId="3" fillId="0" borderId="0" xfId="0" applyFont="1"/>
    <xf numFmtId="1" fontId="3" fillId="0" borderId="0" xfId="0" applyNumberFormat="1" applyFont="1"/>
    <xf numFmtId="1" fontId="0" fillId="2" borderId="18" xfId="0" applyNumberFormat="1" applyFill="1" applyBorder="1"/>
    <xf numFmtId="1" fontId="0" fillId="2" borderId="21" xfId="0" applyNumberFormat="1" applyFill="1" applyBorder="1"/>
    <xf numFmtId="1" fontId="0" fillId="2" borderId="18" xfId="0" applyNumberFormat="1" applyFill="1" applyBorder="1" applyAlignment="1"/>
    <xf numFmtId="1" fontId="0" fillId="2" borderId="18" xfId="0" applyNumberFormat="1" applyFill="1" applyBorder="1" applyAlignment="1">
      <alignment horizontal="right"/>
    </xf>
    <xf numFmtId="1" fontId="0" fillId="2" borderId="21" xfId="0" applyNumberFormat="1" applyFill="1" applyBorder="1" applyAlignment="1">
      <alignment horizontal="right"/>
    </xf>
    <xf numFmtId="164" fontId="0" fillId="2" borderId="18" xfId="0" applyNumberFormat="1" applyFill="1" applyBorder="1"/>
    <xf numFmtId="1" fontId="0" fillId="2" borderId="18" xfId="0" applyNumberFormat="1" applyFill="1" applyBorder="1" applyAlignment="1">
      <alignment horizontal="right"/>
    </xf>
    <xf numFmtId="0" fontId="0" fillId="0" borderId="0" xfId="0" applyFill="1" applyBorder="1"/>
    <xf numFmtId="9" fontId="0" fillId="0" borderId="0" xfId="0" applyNumberFormat="1"/>
    <xf numFmtId="0" fontId="0" fillId="2" borderId="18" xfId="0" applyFill="1" applyBorder="1" applyAlignment="1">
      <alignment horizontal="right"/>
    </xf>
    <xf numFmtId="1" fontId="0" fillId="2" borderId="21" xfId="0" applyNumberFormat="1" applyFill="1" applyBorder="1" applyAlignment="1"/>
    <xf numFmtId="0" fontId="1" fillId="0" borderId="18" xfId="0" applyFont="1" applyFill="1" applyBorder="1"/>
    <xf numFmtId="0" fontId="0" fillId="2" borderId="18" xfId="0" applyFill="1" applyBorder="1"/>
    <xf numFmtId="0" fontId="1" fillId="0" borderId="30" xfId="0" applyFont="1" applyBorder="1" applyAlignment="1"/>
    <xf numFmtId="0" fontId="1" fillId="0" borderId="9" xfId="0" applyFont="1" applyBorder="1"/>
    <xf numFmtId="0" fontId="0" fillId="3" borderId="18" xfId="0" applyFill="1" applyBorder="1" applyAlignment="1">
      <alignment horizontal="center"/>
    </xf>
    <xf numFmtId="0" fontId="0" fillId="0" borderId="0" xfId="0" applyFill="1"/>
    <xf numFmtId="0" fontId="0" fillId="0" borderId="18" xfId="0" applyBorder="1" applyAlignment="1">
      <alignment horizontal="center"/>
    </xf>
    <xf numFmtId="0" fontId="0" fillId="0" borderId="0" xfId="0" applyAlignment="1"/>
    <xf numFmtId="49" fontId="0" fillId="0" borderId="0" xfId="0" applyNumberFormat="1" applyBorder="1" applyAlignment="1">
      <alignment vertical="top" wrapText="1"/>
    </xf>
    <xf numFmtId="1" fontId="0" fillId="0" borderId="18" xfId="0" applyNumberFormat="1" applyBorder="1" applyAlignment="1">
      <alignment vertical="top" wrapText="1"/>
    </xf>
    <xf numFmtId="1" fontId="0" fillId="0" borderId="21" xfId="0" applyNumberFormat="1" applyBorder="1" applyAlignment="1">
      <alignment vertical="top" wrapText="1"/>
    </xf>
    <xf numFmtId="0" fontId="0" fillId="0" borderId="41" xfId="0" applyBorder="1" applyAlignment="1">
      <alignment horizontal="left"/>
    </xf>
    <xf numFmtId="0" fontId="0" fillId="0" borderId="42" xfId="0" applyBorder="1" applyAlignment="1">
      <alignment horizontal="left"/>
    </xf>
    <xf numFmtId="0" fontId="0" fillId="4" borderId="0" xfId="0" applyFill="1"/>
    <xf numFmtId="0" fontId="6" fillId="0" borderId="0" xfId="0" applyFont="1"/>
    <xf numFmtId="0" fontId="6" fillId="0" borderId="0" xfId="0" applyFont="1" applyAlignment="1">
      <alignment horizontal="right"/>
    </xf>
    <xf numFmtId="0" fontId="1" fillId="0" borderId="46" xfId="0" applyFont="1" applyBorder="1" applyAlignment="1"/>
    <xf numFmtId="0" fontId="0" fillId="0" borderId="37" xfId="0" applyFont="1" applyBorder="1" applyAlignment="1">
      <alignment horizontal="center"/>
    </xf>
    <xf numFmtId="0" fontId="1" fillId="0" borderId="40" xfId="0" applyFont="1" applyBorder="1"/>
    <xf numFmtId="1" fontId="0" fillId="0" borderId="0" xfId="0" applyNumberFormat="1" applyFill="1"/>
    <xf numFmtId="0" fontId="1" fillId="0" borderId="19" xfId="0" applyFont="1" applyBorder="1"/>
    <xf numFmtId="0" fontId="0" fillId="0" borderId="19" xfId="0" applyBorder="1" applyAlignment="1"/>
    <xf numFmtId="0" fontId="0" fillId="2" borderId="21" xfId="0" applyFill="1" applyBorder="1" applyAlignment="1">
      <alignment horizontal="right"/>
    </xf>
    <xf numFmtId="0" fontId="0" fillId="0" borderId="0" xfId="0" applyFill="1" applyAlignment="1"/>
    <xf numFmtId="0" fontId="0" fillId="0" borderId="0" xfId="0" applyFont="1" applyAlignment="1">
      <alignment vertical="top" wrapText="1"/>
    </xf>
    <xf numFmtId="0" fontId="0" fillId="0" borderId="31" xfId="0" applyBorder="1" applyAlignment="1"/>
    <xf numFmtId="1" fontId="0" fillId="2" borderId="46" xfId="0" applyNumberFormat="1" applyFill="1" applyBorder="1" applyAlignment="1">
      <alignment horizontal="right"/>
    </xf>
    <xf numFmtId="0" fontId="0" fillId="2" borderId="54" xfId="0" applyFill="1" applyBorder="1"/>
    <xf numFmtId="1" fontId="3" fillId="0" borderId="0" xfId="0" applyNumberFormat="1" applyFont="1" applyAlignment="1">
      <alignment horizontal="center"/>
    </xf>
    <xf numFmtId="0" fontId="0" fillId="0" borderId="0" xfId="0" applyAlignment="1">
      <alignment wrapText="1"/>
    </xf>
    <xf numFmtId="0" fontId="0" fillId="0" borderId="0" xfId="0" applyAlignment="1">
      <alignment vertical="center"/>
    </xf>
    <xf numFmtId="0" fontId="6" fillId="5" borderId="0" xfId="0" applyFont="1" applyFill="1"/>
    <xf numFmtId="0" fontId="3" fillId="2" borderId="0" xfId="0" applyFont="1" applyFill="1"/>
    <xf numFmtId="0" fontId="3" fillId="0" borderId="0" xfId="0" applyFont="1" applyBorder="1"/>
    <xf numFmtId="0" fontId="1" fillId="0" borderId="46" xfId="0" applyFont="1" applyBorder="1"/>
    <xf numFmtId="0" fontId="1" fillId="0" borderId="56" xfId="0" applyFont="1" applyBorder="1"/>
    <xf numFmtId="1" fontId="0" fillId="2" borderId="46" xfId="0" applyNumberFormat="1" applyFill="1" applyBorder="1"/>
    <xf numFmtId="1" fontId="0" fillId="0" borderId="46" xfId="0" applyNumberFormat="1" applyBorder="1" applyAlignment="1"/>
    <xf numFmtId="0" fontId="1" fillId="0" borderId="37" xfId="0" applyFont="1" applyBorder="1"/>
    <xf numFmtId="1" fontId="0" fillId="2" borderId="46" xfId="0" applyNumberFormat="1" applyFill="1" applyBorder="1" applyAlignment="1"/>
    <xf numFmtId="1" fontId="0" fillId="0" borderId="46" xfId="0" applyNumberFormat="1" applyBorder="1" applyAlignment="1">
      <alignment vertical="top" wrapText="1"/>
    </xf>
    <xf numFmtId="0" fontId="1" fillId="0" borderId="37" xfId="0" applyFont="1" applyBorder="1" applyAlignment="1"/>
    <xf numFmtId="0" fontId="1" fillId="7" borderId="17" xfId="0" applyFont="1" applyFill="1" applyBorder="1"/>
    <xf numFmtId="0" fontId="1" fillId="7" borderId="18" xfId="0" applyFont="1" applyFill="1" applyBorder="1"/>
    <xf numFmtId="0" fontId="1" fillId="7" borderId="20" xfId="0" applyFont="1" applyFill="1" applyBorder="1"/>
    <xf numFmtId="0" fontId="1" fillId="7" borderId="21" xfId="0" applyFont="1" applyFill="1" applyBorder="1"/>
    <xf numFmtId="0" fontId="0" fillId="0" borderId="0" xfId="0" applyAlignment="1">
      <alignment horizontal="left" vertical="top" wrapText="1"/>
    </xf>
    <xf numFmtId="0" fontId="0" fillId="0" borderId="0" xfId="0" applyAlignment="1">
      <alignment horizontal="left" vertical="top"/>
    </xf>
    <xf numFmtId="0" fontId="0" fillId="0" borderId="29" xfId="0" applyBorder="1" applyAlignment="1">
      <alignment horizontal="left"/>
    </xf>
    <xf numFmtId="0" fontId="0" fillId="0" borderId="31" xfId="0" applyBorder="1" applyAlignment="1">
      <alignment horizontal="left"/>
    </xf>
    <xf numFmtId="0" fontId="0" fillId="0" borderId="39" xfId="0" applyBorder="1" applyAlignment="1">
      <alignment horizontal="left"/>
    </xf>
    <xf numFmtId="0" fontId="0" fillId="0" borderId="36" xfId="0" applyBorder="1" applyAlignment="1">
      <alignment horizontal="left"/>
    </xf>
    <xf numFmtId="0" fontId="0" fillId="0" borderId="29" xfId="0" applyBorder="1" applyAlignment="1">
      <alignment horizontal="center"/>
    </xf>
    <xf numFmtId="0" fontId="0" fillId="0" borderId="30" xfId="0" applyBorder="1" applyAlignment="1">
      <alignment horizontal="center"/>
    </xf>
    <xf numFmtId="0" fontId="0" fillId="0" borderId="34" xfId="0" applyBorder="1" applyAlignment="1">
      <alignment horizontal="center"/>
    </xf>
    <xf numFmtId="0" fontId="0" fillId="0" borderId="32" xfId="0" applyBorder="1" applyAlignment="1">
      <alignment horizontal="center"/>
    </xf>
    <xf numFmtId="0" fontId="0" fillId="0" borderId="31" xfId="0" applyBorder="1" applyAlignment="1">
      <alignment horizontal="center"/>
    </xf>
    <xf numFmtId="1" fontId="0" fillId="2" borderId="18" xfId="0" applyNumberFormat="1" applyFill="1" applyBorder="1" applyAlignment="1">
      <alignment horizontal="center"/>
    </xf>
    <xf numFmtId="0" fontId="0" fillId="0" borderId="17" xfId="0" applyBorder="1" applyAlignment="1">
      <alignment horizontal="center"/>
    </xf>
    <xf numFmtId="0" fontId="0" fillId="0" borderId="18" xfId="0" applyBorder="1" applyAlignment="1">
      <alignment horizontal="center"/>
    </xf>
    <xf numFmtId="0" fontId="0" fillId="0" borderId="57" xfId="0" applyBorder="1" applyAlignment="1">
      <alignment horizontal="left"/>
    </xf>
    <xf numFmtId="0" fontId="0" fillId="0" borderId="58" xfId="0" applyBorder="1" applyAlignment="1">
      <alignment horizontal="left"/>
    </xf>
    <xf numFmtId="0" fontId="0" fillId="0" borderId="59" xfId="0" applyBorder="1" applyAlignment="1">
      <alignment horizontal="left"/>
    </xf>
    <xf numFmtId="0" fontId="0" fillId="0" borderId="60" xfId="0" applyBorder="1" applyAlignment="1">
      <alignment horizontal="center"/>
    </xf>
    <xf numFmtId="0" fontId="0" fillId="0" borderId="58" xfId="0" applyBorder="1" applyAlignment="1">
      <alignment horizontal="center"/>
    </xf>
    <xf numFmtId="0" fontId="0" fillId="0" borderId="61" xfId="0" applyBorder="1" applyAlignment="1">
      <alignment horizontal="center"/>
    </xf>
    <xf numFmtId="0" fontId="0" fillId="0" borderId="32" xfId="0" applyBorder="1" applyAlignment="1">
      <alignment horizontal="left"/>
    </xf>
    <xf numFmtId="0" fontId="0" fillId="0" borderId="30" xfId="0" applyBorder="1" applyAlignment="1">
      <alignment horizontal="left"/>
    </xf>
    <xf numFmtId="1" fontId="0" fillId="0" borderId="46" xfId="0" applyNumberFormat="1" applyBorder="1" applyAlignment="1">
      <alignment horizontal="left"/>
    </xf>
    <xf numFmtId="1" fontId="0" fillId="0" borderId="47" xfId="0" applyNumberFormat="1" applyBorder="1" applyAlignment="1">
      <alignment horizontal="left"/>
    </xf>
    <xf numFmtId="0" fontId="0" fillId="6" borderId="21" xfId="0" applyFill="1" applyBorder="1" applyAlignment="1">
      <alignment horizontal="center"/>
    </xf>
    <xf numFmtId="0" fontId="0" fillId="3" borderId="29" xfId="0" applyFill="1" applyBorder="1" applyAlignment="1">
      <alignment horizontal="center"/>
    </xf>
    <xf numFmtId="0" fontId="0" fillId="3" borderId="34" xfId="0" applyFill="1" applyBorder="1" applyAlignment="1">
      <alignment horizontal="center"/>
    </xf>
    <xf numFmtId="0" fontId="1" fillId="0" borderId="29" xfId="0" applyFont="1" applyFill="1" applyBorder="1" applyAlignment="1">
      <alignment horizontal="center"/>
    </xf>
    <xf numFmtId="0" fontId="1" fillId="0" borderId="34" xfId="0" applyFont="1" applyFill="1" applyBorder="1" applyAlignment="1">
      <alignment horizontal="center"/>
    </xf>
    <xf numFmtId="0" fontId="0" fillId="0" borderId="17" xfId="0" applyBorder="1" applyAlignment="1">
      <alignment horizontal="left"/>
    </xf>
    <xf numFmtId="0" fontId="0" fillId="0" borderId="18" xfId="0" applyBorder="1" applyAlignment="1">
      <alignment horizontal="left"/>
    </xf>
    <xf numFmtId="0" fontId="1" fillId="0" borderId="56" xfId="0" applyFont="1" applyBorder="1" applyAlignment="1">
      <alignment horizontal="center"/>
    </xf>
    <xf numFmtId="0" fontId="0" fillId="0" borderId="50" xfId="0" applyBorder="1" applyAlignment="1">
      <alignment horizontal="left"/>
    </xf>
    <xf numFmtId="0" fontId="0" fillId="0" borderId="46" xfId="0" applyBorder="1" applyAlignment="1">
      <alignment horizontal="left"/>
    </xf>
    <xf numFmtId="0" fontId="2" fillId="0" borderId="37" xfId="0" applyFont="1" applyBorder="1" applyAlignment="1">
      <alignment horizontal="center"/>
    </xf>
    <xf numFmtId="0" fontId="0" fillId="0" borderId="18" xfId="0" applyFont="1" applyBorder="1" applyAlignment="1">
      <alignment horizontal="center"/>
    </xf>
    <xf numFmtId="0" fontId="0" fillId="0" borderId="19" xfId="0" applyFont="1" applyBorder="1" applyAlignment="1">
      <alignment horizontal="center"/>
    </xf>
    <xf numFmtId="0" fontId="0" fillId="2" borderId="17" xfId="0" applyFill="1" applyBorder="1" applyAlignment="1">
      <alignment horizontal="left"/>
    </xf>
    <xf numFmtId="0" fontId="0" fillId="2" borderId="18" xfId="0" applyFill="1" applyBorder="1" applyAlignment="1">
      <alignment horizontal="left"/>
    </xf>
    <xf numFmtId="0" fontId="0" fillId="0" borderId="29" xfId="0" applyFont="1" applyBorder="1" applyAlignment="1">
      <alignment horizontal="center"/>
    </xf>
    <xf numFmtId="0" fontId="0" fillId="0" borderId="34" xfId="0" applyFont="1" applyBorder="1" applyAlignment="1">
      <alignment horizontal="center"/>
    </xf>
    <xf numFmtId="0" fontId="0" fillId="0" borderId="21" xfId="0" applyFont="1" applyBorder="1" applyAlignment="1">
      <alignment horizontal="center"/>
    </xf>
    <xf numFmtId="0" fontId="0" fillId="0" borderId="22" xfId="0" applyFont="1" applyBorder="1" applyAlignment="1">
      <alignment horizontal="center"/>
    </xf>
    <xf numFmtId="0" fontId="0" fillId="0" borderId="20" xfId="0" applyBorder="1" applyAlignment="1">
      <alignment horizontal="left"/>
    </xf>
    <xf numFmtId="0" fontId="0" fillId="0" borderId="21" xfId="0" applyBorder="1" applyAlignment="1">
      <alignment horizontal="left"/>
    </xf>
    <xf numFmtId="0" fontId="0" fillId="2" borderId="20" xfId="0" applyFill="1" applyBorder="1" applyAlignment="1">
      <alignment horizontal="left"/>
    </xf>
    <xf numFmtId="0" fontId="0" fillId="2" borderId="21" xfId="0" applyFill="1" applyBorder="1" applyAlignment="1">
      <alignment horizontal="left"/>
    </xf>
    <xf numFmtId="0" fontId="1" fillId="0" borderId="46" xfId="0" applyFont="1" applyBorder="1" applyAlignment="1">
      <alignment horizontal="center"/>
    </xf>
    <xf numFmtId="0" fontId="1" fillId="0" borderId="47" xfId="0" applyFont="1" applyBorder="1" applyAlignment="1">
      <alignment horizontal="center"/>
    </xf>
    <xf numFmtId="0" fontId="1" fillId="0" borderId="50" xfId="0" applyFont="1" applyBorder="1" applyAlignment="1">
      <alignment horizontal="center"/>
    </xf>
    <xf numFmtId="0" fontId="1" fillId="0" borderId="45"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0" fillId="2" borderId="18" xfId="0" applyFill="1" applyBorder="1" applyAlignment="1">
      <alignment horizontal="center"/>
    </xf>
    <xf numFmtId="1" fontId="1" fillId="0" borderId="37" xfId="0" applyNumberFormat="1" applyFont="1" applyBorder="1" applyAlignment="1">
      <alignment horizontal="center"/>
    </xf>
    <xf numFmtId="0" fontId="1" fillId="0" borderId="37" xfId="0" applyFont="1" applyBorder="1" applyAlignment="1">
      <alignment horizontal="center"/>
    </xf>
    <xf numFmtId="1" fontId="0" fillId="0" borderId="18" xfId="0" applyNumberFormat="1" applyBorder="1" applyAlignment="1">
      <alignment horizontal="left"/>
    </xf>
    <xf numFmtId="1" fontId="0" fillId="0" borderId="19" xfId="0" applyNumberFormat="1" applyBorder="1" applyAlignment="1">
      <alignment horizontal="left"/>
    </xf>
    <xf numFmtId="0" fontId="0" fillId="0" borderId="50" xfId="0" applyBorder="1" applyAlignment="1">
      <alignment horizontal="center"/>
    </xf>
    <xf numFmtId="0" fontId="0" fillId="0" borderId="46" xfId="0" applyBorder="1" applyAlignment="1">
      <alignment horizontal="center"/>
    </xf>
    <xf numFmtId="1" fontId="0" fillId="2" borderId="21" xfId="0" applyNumberFormat="1" applyFill="1" applyBorder="1" applyAlignment="1">
      <alignment horizontal="right"/>
    </xf>
    <xf numFmtId="1" fontId="0" fillId="0" borderId="21" xfId="0" applyNumberFormat="1" applyBorder="1" applyAlignment="1">
      <alignment horizontal="center"/>
    </xf>
    <xf numFmtId="1" fontId="0" fillId="0" borderId="22" xfId="0" applyNumberFormat="1" applyBorder="1" applyAlignment="1">
      <alignment horizontal="center"/>
    </xf>
    <xf numFmtId="0" fontId="0" fillId="0" borderId="35" xfId="0" applyBorder="1" applyAlignment="1">
      <alignment horizontal="left"/>
    </xf>
    <xf numFmtId="0" fontId="0" fillId="0" borderId="0" xfId="0" applyBorder="1" applyAlignment="1">
      <alignment horizontal="left"/>
    </xf>
    <xf numFmtId="0" fontId="1" fillId="0" borderId="20" xfId="0" applyFont="1" applyBorder="1" applyAlignment="1">
      <alignment horizontal="center"/>
    </xf>
    <xf numFmtId="0" fontId="1" fillId="0" borderId="21" xfId="0" applyFont="1" applyBorder="1" applyAlignment="1">
      <alignment horizontal="center"/>
    </xf>
    <xf numFmtId="0" fontId="1" fillId="0" borderId="26" xfId="0" applyFont="1" applyBorder="1" applyAlignment="1">
      <alignment horizontal="center"/>
    </xf>
    <xf numFmtId="0" fontId="0" fillId="2" borderId="19" xfId="0" applyFill="1" applyBorder="1" applyAlignment="1">
      <alignment horizontal="center"/>
    </xf>
    <xf numFmtId="0" fontId="0" fillId="2" borderId="20" xfId="0" applyFill="1" applyBorder="1" applyAlignment="1">
      <alignment horizontal="center"/>
    </xf>
    <xf numFmtId="0" fontId="0" fillId="2" borderId="21" xfId="0" applyFill="1" applyBorder="1" applyAlignment="1">
      <alignment horizontal="center"/>
    </xf>
    <xf numFmtId="0" fontId="0" fillId="0" borderId="26" xfId="0" applyBorder="1" applyAlignment="1">
      <alignment horizontal="left"/>
    </xf>
    <xf numFmtId="0" fontId="0" fillId="0" borderId="27" xfId="0" applyBorder="1" applyAlignment="1">
      <alignment horizontal="left"/>
    </xf>
    <xf numFmtId="0" fontId="0" fillId="0" borderId="28" xfId="0" applyBorder="1" applyAlignment="1">
      <alignment horizontal="left"/>
    </xf>
    <xf numFmtId="0" fontId="1" fillId="0" borderId="33" xfId="0" applyFont="1" applyBorder="1" applyAlignment="1">
      <alignment horizontal="center"/>
    </xf>
    <xf numFmtId="1" fontId="0" fillId="0" borderId="0" xfId="0" applyNumberFormat="1" applyBorder="1" applyAlignment="1">
      <alignment horizontal="left"/>
    </xf>
    <xf numFmtId="1" fontId="0" fillId="0" borderId="10" xfId="0" applyNumberFormat="1" applyBorder="1" applyAlignment="1">
      <alignment horizontal="left"/>
    </xf>
    <xf numFmtId="0" fontId="0" fillId="0" borderId="5" xfId="0"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0" fillId="0" borderId="9" xfId="0" applyBorder="1" applyAlignment="1">
      <alignment horizontal="center"/>
    </xf>
    <xf numFmtId="0" fontId="0" fillId="0" borderId="0" xfId="0" applyBorder="1" applyAlignment="1">
      <alignment horizontal="center"/>
    </xf>
    <xf numFmtId="0" fontId="0" fillId="0" borderId="10"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0" fontId="1" fillId="0" borderId="29" xfId="0" applyFont="1" applyBorder="1" applyAlignment="1">
      <alignment horizontal="left"/>
    </xf>
    <xf numFmtId="0" fontId="1" fillId="0" borderId="30" xfId="0" applyFont="1" applyBorder="1" applyAlignment="1">
      <alignment horizontal="left"/>
    </xf>
    <xf numFmtId="0" fontId="0" fillId="0" borderId="41" xfId="0" applyBorder="1" applyAlignment="1">
      <alignment horizontal="left"/>
    </xf>
    <xf numFmtId="0" fontId="0" fillId="0" borderId="42" xfId="0" applyBorder="1" applyAlignment="1">
      <alignment horizontal="left"/>
    </xf>
    <xf numFmtId="0" fontId="0" fillId="0" borderId="32" xfId="0" applyFont="1" applyBorder="1" applyAlignment="1">
      <alignment horizontal="left"/>
    </xf>
    <xf numFmtId="0" fontId="0" fillId="0" borderId="31" xfId="0" applyFont="1" applyBorder="1" applyAlignment="1">
      <alignment horizontal="left"/>
    </xf>
    <xf numFmtId="0" fontId="1" fillId="0" borderId="32" xfId="0" applyFont="1" applyBorder="1" applyAlignment="1">
      <alignment horizontal="left"/>
    </xf>
    <xf numFmtId="0" fontId="0" fillId="0" borderId="37" xfId="0" applyBorder="1" applyAlignment="1">
      <alignment horizontal="center"/>
    </xf>
    <xf numFmtId="1" fontId="0" fillId="2" borderId="18" xfId="0" applyNumberFormat="1" applyFont="1" applyFill="1" applyBorder="1" applyAlignment="1">
      <alignment horizontal="center"/>
    </xf>
    <xf numFmtId="0" fontId="0" fillId="2" borderId="18" xfId="0" applyFont="1" applyFill="1" applyBorder="1" applyAlignment="1">
      <alignment horizontal="center"/>
    </xf>
    <xf numFmtId="1" fontId="0" fillId="2" borderId="46" xfId="0" applyNumberFormat="1" applyFill="1" applyBorder="1" applyAlignment="1">
      <alignment horizontal="center"/>
    </xf>
    <xf numFmtId="0" fontId="0" fillId="0" borderId="46" xfId="0" applyFont="1" applyBorder="1" applyAlignment="1">
      <alignment horizontal="center"/>
    </xf>
    <xf numFmtId="0" fontId="0" fillId="6" borderId="21" xfId="0" applyFont="1" applyFill="1" applyBorder="1" applyAlignment="1">
      <alignment horizontal="center"/>
    </xf>
    <xf numFmtId="0" fontId="0" fillId="2" borderId="29" xfId="0" applyFill="1" applyBorder="1" applyAlignment="1">
      <alignment horizontal="center"/>
    </xf>
    <xf numFmtId="0" fontId="0" fillId="2" borderId="30" xfId="0" applyFill="1" applyBorder="1" applyAlignment="1">
      <alignment horizontal="center"/>
    </xf>
    <xf numFmtId="0" fontId="0" fillId="2" borderId="34" xfId="0" applyFill="1" applyBorder="1" applyAlignment="1">
      <alignment horizontal="center"/>
    </xf>
    <xf numFmtId="0" fontId="0" fillId="6" borderId="39" xfId="0" applyFont="1" applyFill="1" applyBorder="1" applyAlignment="1">
      <alignment horizontal="center"/>
    </xf>
    <xf numFmtId="0" fontId="0" fillId="6" borderId="36" xfId="0" applyFont="1" applyFill="1" applyBorder="1" applyAlignment="1">
      <alignment horizontal="center"/>
    </xf>
    <xf numFmtId="0" fontId="0" fillId="0" borderId="31" xfId="0" applyFont="1" applyBorder="1" applyAlignment="1">
      <alignment horizontal="center"/>
    </xf>
    <xf numFmtId="0" fontId="0" fillId="0" borderId="30" xfId="0" applyFont="1" applyBorder="1" applyAlignment="1">
      <alignment horizontal="center"/>
    </xf>
    <xf numFmtId="0" fontId="0" fillId="0" borderId="60" xfId="0" applyFont="1" applyBorder="1" applyAlignment="1">
      <alignment horizontal="center"/>
    </xf>
    <xf numFmtId="0" fontId="0" fillId="0" borderId="59" xfId="0" applyFont="1" applyBorder="1" applyAlignment="1">
      <alignment horizontal="center"/>
    </xf>
    <xf numFmtId="0" fontId="0" fillId="0" borderId="43" xfId="0" applyBorder="1" applyAlignment="1">
      <alignment horizontal="center"/>
    </xf>
    <xf numFmtId="0" fontId="0" fillId="0" borderId="41" xfId="0" applyBorder="1" applyAlignment="1">
      <alignment horizontal="center"/>
    </xf>
    <xf numFmtId="0" fontId="0" fillId="0" borderId="44" xfId="0" applyBorder="1" applyAlignment="1">
      <alignment horizontal="center"/>
    </xf>
    <xf numFmtId="0" fontId="0" fillId="2" borderId="31" xfId="0" applyFill="1" applyBorder="1" applyAlignment="1">
      <alignment horizontal="center"/>
    </xf>
    <xf numFmtId="0" fontId="0" fillId="0" borderId="39" xfId="0" applyFont="1" applyBorder="1" applyAlignment="1">
      <alignment horizontal="center"/>
    </xf>
    <xf numFmtId="0" fontId="0" fillId="0" borderId="38" xfId="0" applyFont="1" applyBorder="1" applyAlignment="1">
      <alignment horizontal="center"/>
    </xf>
    <xf numFmtId="0" fontId="0" fillId="0" borderId="36" xfId="0" applyFont="1" applyBorder="1" applyAlignment="1">
      <alignment horizontal="center"/>
    </xf>
    <xf numFmtId="0" fontId="0" fillId="0" borderId="38" xfId="0" applyBorder="1" applyAlignment="1">
      <alignment horizontal="left"/>
    </xf>
    <xf numFmtId="0" fontId="0" fillId="0" borderId="55" xfId="0" applyBorder="1" applyAlignment="1">
      <alignment horizontal="left"/>
    </xf>
    <xf numFmtId="0" fontId="0" fillId="2" borderId="39" xfId="0" applyFill="1" applyBorder="1" applyAlignment="1">
      <alignment horizontal="center"/>
    </xf>
    <xf numFmtId="0" fontId="0" fillId="2" borderId="36" xfId="0" applyFill="1" applyBorder="1" applyAlignment="1">
      <alignment horizontal="center"/>
    </xf>
    <xf numFmtId="1" fontId="0" fillId="2" borderId="39" xfId="0" applyNumberFormat="1" applyFill="1" applyBorder="1" applyAlignment="1">
      <alignment horizontal="center"/>
    </xf>
    <xf numFmtId="0" fontId="0" fillId="2" borderId="38" xfId="0" applyFill="1" applyBorder="1" applyAlignment="1">
      <alignment horizontal="center"/>
    </xf>
    <xf numFmtId="0" fontId="0" fillId="0" borderId="39" xfId="0" applyBorder="1" applyAlignment="1">
      <alignment horizontal="center"/>
    </xf>
    <xf numFmtId="0" fontId="0" fillId="0" borderId="36" xfId="0" applyBorder="1" applyAlignment="1">
      <alignment horizontal="center"/>
    </xf>
    <xf numFmtId="0" fontId="0" fillId="2" borderId="22" xfId="0" applyFill="1" applyBorder="1" applyAlignment="1">
      <alignment horizontal="center"/>
    </xf>
    <xf numFmtId="0" fontId="1" fillId="0" borderId="48" xfId="0" applyFont="1" applyBorder="1" applyAlignment="1">
      <alignment horizontal="center"/>
    </xf>
    <xf numFmtId="0" fontId="1" fillId="0" borderId="64" xfId="0" applyFont="1" applyBorder="1" applyAlignment="1">
      <alignment horizontal="center"/>
    </xf>
    <xf numFmtId="0" fontId="1" fillId="0" borderId="49" xfId="0" applyFont="1" applyBorder="1" applyAlignment="1">
      <alignment horizontal="center"/>
    </xf>
    <xf numFmtId="0" fontId="0" fillId="0" borderId="24" xfId="0" applyBorder="1" applyAlignment="1">
      <alignment horizontal="center"/>
    </xf>
    <xf numFmtId="0" fontId="0" fillId="0" borderId="25" xfId="0" applyBorder="1" applyAlignment="1">
      <alignment horizontal="center"/>
    </xf>
    <xf numFmtId="0" fontId="0" fillId="0" borderId="45" xfId="0" applyBorder="1" applyAlignment="1">
      <alignment horizontal="center"/>
    </xf>
    <xf numFmtId="0" fontId="0" fillId="0" borderId="28" xfId="0" applyBorder="1" applyAlignment="1">
      <alignment horizontal="center"/>
    </xf>
    <xf numFmtId="0" fontId="1" fillId="0" borderId="24" xfId="0" applyFont="1" applyBorder="1" applyAlignment="1">
      <alignment horizontal="center"/>
    </xf>
    <xf numFmtId="0" fontId="1" fillId="0" borderId="25" xfId="0" applyFont="1" applyBorder="1" applyAlignment="1">
      <alignment horizontal="center"/>
    </xf>
    <xf numFmtId="0" fontId="0" fillId="2" borderId="55" xfId="0" applyFill="1" applyBorder="1" applyAlignment="1">
      <alignment horizontal="center"/>
    </xf>
    <xf numFmtId="0" fontId="0" fillId="0" borderId="5" xfId="0" applyFont="1" applyBorder="1" applyAlignment="1">
      <alignment horizontal="center" vertical="center"/>
    </xf>
    <xf numFmtId="0" fontId="0" fillId="0" borderId="6" xfId="0" applyFont="1" applyBorder="1" applyAlignment="1">
      <alignment horizontal="center" vertical="center"/>
    </xf>
    <xf numFmtId="0" fontId="0" fillId="0" borderId="63" xfId="0" applyFont="1" applyBorder="1" applyAlignment="1">
      <alignment horizontal="center" vertical="center"/>
    </xf>
    <xf numFmtId="0" fontId="0" fillId="0" borderId="9" xfId="0" applyFont="1" applyBorder="1" applyAlignment="1">
      <alignment horizontal="center" vertical="center"/>
    </xf>
    <xf numFmtId="0" fontId="0" fillId="0" borderId="0" xfId="0" applyFont="1" applyBorder="1" applyAlignment="1">
      <alignment horizontal="center" vertical="center"/>
    </xf>
    <xf numFmtId="0" fontId="0" fillId="0" borderId="62" xfId="0" applyFont="1" applyBorder="1" applyAlignment="1">
      <alignment horizontal="center" vertical="center"/>
    </xf>
    <xf numFmtId="0" fontId="0" fillId="0" borderId="11" xfId="0" applyFont="1" applyBorder="1" applyAlignment="1">
      <alignment horizontal="center" vertical="center"/>
    </xf>
    <xf numFmtId="0" fontId="0" fillId="0" borderId="12" xfId="0" applyFont="1" applyBorder="1" applyAlignment="1">
      <alignment horizontal="center" vertical="center"/>
    </xf>
    <xf numFmtId="0" fontId="0" fillId="0" borderId="65" xfId="0" applyFont="1" applyBorder="1" applyAlignment="1">
      <alignment horizontal="center" vertical="center"/>
    </xf>
    <xf numFmtId="0" fontId="0" fillId="0" borderId="5" xfId="0" applyFont="1" applyBorder="1" applyAlignment="1">
      <alignment horizontal="center" vertical="center" wrapText="1"/>
    </xf>
    <xf numFmtId="0" fontId="0" fillId="0" borderId="6" xfId="0" applyFont="1" applyBorder="1" applyAlignment="1">
      <alignment horizontal="center" vertical="center" wrapText="1"/>
    </xf>
    <xf numFmtId="0" fontId="0" fillId="0" borderId="63"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65" xfId="0" applyFont="1" applyBorder="1" applyAlignment="1">
      <alignment horizontal="center" vertical="center" wrapText="1"/>
    </xf>
    <xf numFmtId="0" fontId="0" fillId="0" borderId="19" xfId="0" applyBorder="1" applyAlignment="1">
      <alignment horizontal="center"/>
    </xf>
    <xf numFmtId="0" fontId="3" fillId="0" borderId="20" xfId="0" applyFont="1" applyBorder="1" applyAlignment="1">
      <alignment horizontal="right"/>
    </xf>
    <xf numFmtId="0" fontId="3" fillId="0" borderId="21" xfId="0" applyFont="1" applyBorder="1" applyAlignment="1">
      <alignment horizontal="right"/>
    </xf>
    <xf numFmtId="0" fontId="3" fillId="0" borderId="22" xfId="0" applyFont="1" applyBorder="1" applyAlignment="1">
      <alignment horizontal="right"/>
    </xf>
    <xf numFmtId="0" fontId="0" fillId="0" borderId="21" xfId="0" applyBorder="1" applyAlignment="1">
      <alignment horizontal="center"/>
    </xf>
    <xf numFmtId="0" fontId="0" fillId="0" borderId="22" xfId="0" applyBorder="1" applyAlignment="1">
      <alignment horizontal="center"/>
    </xf>
    <xf numFmtId="0" fontId="1" fillId="0" borderId="5" xfId="0" applyFont="1" applyBorder="1" applyAlignment="1">
      <alignment horizontal="center"/>
    </xf>
    <xf numFmtId="0" fontId="1" fillId="0" borderId="6" xfId="0" applyFont="1" applyBorder="1" applyAlignment="1">
      <alignment horizontal="center"/>
    </xf>
    <xf numFmtId="0" fontId="1" fillId="0" borderId="7" xfId="0" applyFont="1" applyBorder="1" applyAlignment="1">
      <alignment horizontal="center"/>
    </xf>
    <xf numFmtId="0" fontId="0" fillId="0" borderId="5" xfId="0" applyBorder="1" applyAlignment="1">
      <alignment horizontal="left" vertical="top" wrapText="1"/>
    </xf>
    <xf numFmtId="0" fontId="0" fillId="0" borderId="6" xfId="0" applyBorder="1" applyAlignment="1">
      <alignment horizontal="left" vertical="top"/>
    </xf>
    <xf numFmtId="0" fontId="0" fillId="0" borderId="7" xfId="0" applyBorder="1" applyAlignment="1">
      <alignment horizontal="left" vertical="top"/>
    </xf>
    <xf numFmtId="0" fontId="0" fillId="0" borderId="9" xfId="0" applyBorder="1" applyAlignment="1">
      <alignment horizontal="left" vertical="top"/>
    </xf>
    <xf numFmtId="0" fontId="0" fillId="0" borderId="0" xfId="0" applyBorder="1" applyAlignment="1">
      <alignment horizontal="left" vertical="top"/>
    </xf>
    <xf numFmtId="0" fontId="0" fillId="0" borderId="10" xfId="0" applyBorder="1" applyAlignment="1">
      <alignment horizontal="left" vertical="top"/>
    </xf>
    <xf numFmtId="0" fontId="0" fillId="0" borderId="11" xfId="0" applyBorder="1" applyAlignment="1">
      <alignment horizontal="left" vertical="top"/>
    </xf>
    <xf numFmtId="0" fontId="0" fillId="0" borderId="12" xfId="0" applyBorder="1" applyAlignment="1">
      <alignment horizontal="left" vertical="top"/>
    </xf>
    <xf numFmtId="0" fontId="0" fillId="0" borderId="13" xfId="0" applyBorder="1" applyAlignment="1">
      <alignment horizontal="left" vertical="top"/>
    </xf>
    <xf numFmtId="49" fontId="0" fillId="0" borderId="20" xfId="0" applyNumberFormat="1" applyBorder="1" applyAlignment="1">
      <alignment horizontal="left" vertical="top" wrapText="1"/>
    </xf>
    <xf numFmtId="49" fontId="0" fillId="0" borderId="21" xfId="0" applyNumberFormat="1" applyBorder="1" applyAlignment="1">
      <alignment horizontal="left" vertical="top" wrapText="1"/>
    </xf>
    <xf numFmtId="49" fontId="6" fillId="0" borderId="21" xfId="0" applyNumberFormat="1" applyFont="1" applyBorder="1" applyAlignment="1">
      <alignment horizontal="left" vertical="top" wrapText="1"/>
    </xf>
    <xf numFmtId="49" fontId="6" fillId="0" borderId="22" xfId="0" applyNumberFormat="1" applyFont="1" applyBorder="1" applyAlignment="1">
      <alignment horizontal="left" vertical="top" wrapText="1"/>
    </xf>
    <xf numFmtId="49" fontId="3" fillId="0" borderId="50" xfId="0" applyNumberFormat="1" applyFont="1" applyBorder="1" applyAlignment="1">
      <alignment horizontal="left" vertical="top" wrapText="1"/>
    </xf>
    <xf numFmtId="49" fontId="3" fillId="0" borderId="46" xfId="0" applyNumberFormat="1" applyFont="1" applyBorder="1" applyAlignment="1">
      <alignment horizontal="left" vertical="top" wrapText="1"/>
    </xf>
    <xf numFmtId="49" fontId="0" fillId="0" borderId="46" xfId="0" applyNumberFormat="1" applyBorder="1" applyAlignment="1">
      <alignment horizontal="center" vertical="top" wrapText="1"/>
    </xf>
    <xf numFmtId="49" fontId="0" fillId="0" borderId="47" xfId="0" applyNumberFormat="1" applyBorder="1" applyAlignment="1">
      <alignment horizontal="center" vertical="top" wrapText="1"/>
    </xf>
    <xf numFmtId="49" fontId="3" fillId="0" borderId="17" xfId="0" applyNumberFormat="1" applyFont="1" applyBorder="1" applyAlignment="1">
      <alignment horizontal="left" vertical="top" wrapText="1"/>
    </xf>
    <xf numFmtId="49" fontId="3" fillId="0" borderId="18" xfId="0" applyNumberFormat="1" applyFont="1" applyBorder="1" applyAlignment="1">
      <alignment horizontal="left" vertical="top" wrapText="1"/>
    </xf>
    <xf numFmtId="49" fontId="0" fillId="0" borderId="18" xfId="0" applyNumberFormat="1" applyBorder="1" applyAlignment="1">
      <alignment horizontal="center" vertical="top" wrapText="1"/>
    </xf>
    <xf numFmtId="49" fontId="0" fillId="0" borderId="19" xfId="0" applyNumberFormat="1" applyBorder="1" applyAlignment="1">
      <alignment horizontal="center" vertical="top" wrapText="1"/>
    </xf>
    <xf numFmtId="49" fontId="3" fillId="0" borderId="20" xfId="0" applyNumberFormat="1" applyFont="1" applyBorder="1" applyAlignment="1">
      <alignment horizontal="left" vertical="top" wrapText="1"/>
    </xf>
    <xf numFmtId="49" fontId="3" fillId="0" borderId="21" xfId="0" applyNumberFormat="1" applyFont="1" applyBorder="1" applyAlignment="1">
      <alignment horizontal="left" vertical="top" wrapText="1"/>
    </xf>
    <xf numFmtId="49" fontId="0" fillId="0" borderId="21" xfId="0" applyNumberFormat="1" applyBorder="1" applyAlignment="1">
      <alignment horizontal="center" vertical="top" wrapText="1"/>
    </xf>
    <xf numFmtId="49" fontId="0" fillId="0" borderId="22" xfId="0" applyNumberFormat="1" applyBorder="1" applyAlignment="1">
      <alignment horizontal="center" vertical="top" wrapText="1"/>
    </xf>
    <xf numFmtId="49" fontId="1" fillId="0" borderId="51" xfId="0" applyNumberFormat="1" applyFont="1" applyBorder="1" applyAlignment="1">
      <alignment horizontal="center" vertical="top" wrapText="1"/>
    </xf>
    <xf numFmtId="49" fontId="1" fillId="0" borderId="52" xfId="0" applyNumberFormat="1" applyFont="1" applyBorder="1" applyAlignment="1">
      <alignment horizontal="center" vertical="top" wrapText="1"/>
    </xf>
    <xf numFmtId="49" fontId="1" fillId="0" borderId="53" xfId="0" applyNumberFormat="1" applyFont="1" applyBorder="1" applyAlignment="1">
      <alignment horizontal="center" vertical="top" wrapText="1"/>
    </xf>
    <xf numFmtId="49" fontId="0" fillId="0" borderId="50" xfId="0" applyNumberFormat="1" applyBorder="1" applyAlignment="1">
      <alignment vertical="top" wrapText="1"/>
    </xf>
    <xf numFmtId="49" fontId="0" fillId="0" borderId="46" xfId="0" applyNumberFormat="1" applyBorder="1" applyAlignment="1">
      <alignment vertical="top" wrapText="1"/>
    </xf>
    <xf numFmtId="49" fontId="0" fillId="0" borderId="17" xfId="0" applyNumberFormat="1" applyBorder="1" applyAlignment="1">
      <alignment vertical="top" wrapText="1"/>
    </xf>
    <xf numFmtId="49" fontId="0" fillId="0" borderId="18" xfId="0" applyNumberFormat="1" applyBorder="1" applyAlignment="1">
      <alignment vertical="top" wrapText="1"/>
    </xf>
    <xf numFmtId="49" fontId="0" fillId="0" borderId="50" xfId="0" applyNumberFormat="1" applyBorder="1" applyAlignment="1">
      <alignment horizontal="left" vertical="top" wrapText="1"/>
    </xf>
    <xf numFmtId="49" fontId="0" fillId="0" borderId="46" xfId="0" applyNumberFormat="1" applyBorder="1" applyAlignment="1">
      <alignment horizontal="left" vertical="top" wrapText="1"/>
    </xf>
    <xf numFmtId="49" fontId="6" fillId="0" borderId="46" xfId="0" applyNumberFormat="1" applyFont="1" applyBorder="1" applyAlignment="1">
      <alignment horizontal="left" vertical="top" wrapText="1"/>
    </xf>
    <xf numFmtId="49" fontId="6" fillId="0" borderId="47" xfId="0" applyNumberFormat="1" applyFont="1" applyBorder="1" applyAlignment="1">
      <alignment horizontal="left" vertical="top" wrapText="1"/>
    </xf>
    <xf numFmtId="0" fontId="0" fillId="0" borderId="20" xfId="0" applyBorder="1" applyAlignment="1">
      <alignment horizontal="center"/>
    </xf>
    <xf numFmtId="49" fontId="0" fillId="0" borderId="20" xfId="0" applyNumberFormat="1" applyBorder="1" applyAlignment="1">
      <alignment vertical="top" wrapText="1"/>
    </xf>
    <xf numFmtId="49" fontId="0" fillId="0" borderId="21" xfId="0" applyNumberFormat="1" applyBorder="1" applyAlignment="1">
      <alignment vertical="top" wrapText="1"/>
    </xf>
    <xf numFmtId="49" fontId="6" fillId="0" borderId="46" xfId="0" applyNumberFormat="1" applyFont="1" applyBorder="1" applyAlignment="1">
      <alignment vertical="top" wrapText="1"/>
    </xf>
    <xf numFmtId="49" fontId="6" fillId="0" borderId="47" xfId="0" applyNumberFormat="1" applyFont="1" applyBorder="1" applyAlignment="1">
      <alignment vertical="top" wrapText="1"/>
    </xf>
    <xf numFmtId="49" fontId="6" fillId="0" borderId="18" xfId="0" applyNumberFormat="1" applyFont="1" applyBorder="1" applyAlignment="1">
      <alignment vertical="top" wrapText="1"/>
    </xf>
    <xf numFmtId="49" fontId="6" fillId="0" borderId="19" xfId="0" applyNumberFormat="1" applyFont="1" applyBorder="1" applyAlignment="1">
      <alignment vertical="top" wrapText="1"/>
    </xf>
    <xf numFmtId="49" fontId="6" fillId="0" borderId="21" xfId="0" applyNumberFormat="1" applyFont="1" applyBorder="1" applyAlignment="1">
      <alignment vertical="top" wrapText="1"/>
    </xf>
    <xf numFmtId="49" fontId="6" fillId="0" borderId="22" xfId="0" applyNumberFormat="1" applyFont="1" applyBorder="1" applyAlignment="1">
      <alignment vertical="top" wrapText="1"/>
    </xf>
    <xf numFmtId="0" fontId="0" fillId="0" borderId="58" xfId="0" applyFont="1" applyBorder="1" applyAlignment="1">
      <alignment horizontal="center"/>
    </xf>
    <xf numFmtId="0" fontId="0" fillId="0" borderId="61" xfId="0" applyFont="1" applyBorder="1" applyAlignment="1">
      <alignment horizontal="center"/>
    </xf>
    <xf numFmtId="0" fontId="0" fillId="6" borderId="38" xfId="0" applyFont="1" applyFill="1" applyBorder="1" applyAlignment="1">
      <alignment horizontal="center"/>
    </xf>
    <xf numFmtId="0" fontId="0" fillId="6" borderId="55" xfId="0" applyFont="1" applyFill="1" applyBorder="1" applyAlignment="1">
      <alignment horizontal="center"/>
    </xf>
    <xf numFmtId="0" fontId="0" fillId="0" borderId="37" xfId="0" applyFont="1" applyBorder="1" applyAlignment="1">
      <alignment horizontal="center"/>
    </xf>
    <xf numFmtId="0" fontId="0" fillId="0" borderId="34" xfId="0" applyBorder="1" applyAlignment="1">
      <alignment horizontal="left"/>
    </xf>
    <xf numFmtId="0" fontId="0" fillId="0" borderId="9" xfId="0" applyFont="1" applyBorder="1" applyAlignment="1">
      <alignment horizontal="center" vertical="center" wrapText="1"/>
    </xf>
    <xf numFmtId="0" fontId="0" fillId="0" borderId="0" xfId="0" applyFont="1" applyBorder="1" applyAlignment="1">
      <alignment horizontal="center" vertical="center" wrapText="1"/>
    </xf>
    <xf numFmtId="0" fontId="0" fillId="0" borderId="62" xfId="0" applyFont="1" applyBorder="1" applyAlignment="1">
      <alignment horizontal="center" vertical="center" wrapText="1"/>
    </xf>
    <xf numFmtId="0" fontId="0" fillId="0" borderId="38" xfId="0" applyBorder="1" applyAlignment="1">
      <alignment horizontal="center"/>
    </xf>
    <xf numFmtId="1" fontId="0" fillId="2" borderId="29" xfId="0" applyNumberFormat="1" applyFill="1" applyBorder="1" applyAlignment="1">
      <alignment horizontal="center"/>
    </xf>
    <xf numFmtId="1" fontId="0" fillId="2" borderId="30" xfId="0" applyNumberFormat="1" applyFill="1" applyBorder="1" applyAlignment="1">
      <alignment horizontal="center"/>
    </xf>
    <xf numFmtId="1" fontId="0" fillId="2" borderId="31" xfId="0" applyNumberFormat="1" applyFill="1" applyBorder="1" applyAlignment="1">
      <alignment horizontal="center"/>
    </xf>
    <xf numFmtId="0" fontId="0" fillId="0" borderId="55" xfId="0" applyBorder="1" applyAlignment="1">
      <alignment horizontal="center"/>
    </xf>
    <xf numFmtId="0" fontId="0" fillId="7" borderId="18" xfId="0" applyFill="1" applyBorder="1" applyAlignment="1">
      <alignment horizontal="center"/>
    </xf>
    <xf numFmtId="0" fontId="0" fillId="7" borderId="19" xfId="0" applyFill="1" applyBorder="1" applyAlignment="1">
      <alignment horizontal="center"/>
    </xf>
    <xf numFmtId="0" fontId="1" fillId="0" borderId="18" xfId="0" applyFont="1" applyBorder="1" applyAlignment="1">
      <alignment horizontal="center"/>
    </xf>
    <xf numFmtId="0" fontId="1" fillId="0" borderId="17" xfId="0" applyFont="1" applyBorder="1" applyAlignment="1">
      <alignment horizontal="center"/>
    </xf>
    <xf numFmtId="9" fontId="0" fillId="0" borderId="18" xfId="0" applyNumberFormat="1" applyBorder="1" applyAlignment="1">
      <alignment horizontal="center"/>
    </xf>
    <xf numFmtId="9" fontId="0" fillId="0" borderId="24" xfId="0" applyNumberFormat="1" applyBorder="1" applyAlignment="1">
      <alignment horizontal="center"/>
    </xf>
    <xf numFmtId="0" fontId="1" fillId="0" borderId="23" xfId="0" applyFont="1" applyBorder="1" applyAlignment="1">
      <alignment horizontal="center"/>
    </xf>
    <xf numFmtId="0" fontId="1" fillId="7" borderId="17" xfId="0" applyFont="1" applyFill="1" applyBorder="1" applyAlignment="1">
      <alignment horizontal="center"/>
    </xf>
    <xf numFmtId="0" fontId="1" fillId="7" borderId="18" xfId="0" applyFont="1" applyFill="1" applyBorder="1" applyAlignment="1">
      <alignment horizontal="center"/>
    </xf>
    <xf numFmtId="9" fontId="0" fillId="7" borderId="18" xfId="0" applyNumberFormat="1" applyFill="1" applyBorder="1" applyAlignment="1">
      <alignment horizontal="center"/>
    </xf>
    <xf numFmtId="0" fontId="0" fillId="7" borderId="21" xfId="0" applyFill="1" applyBorder="1" applyAlignment="1">
      <alignment horizontal="center"/>
    </xf>
    <xf numFmtId="0" fontId="0" fillId="7" borderId="22" xfId="0" applyFill="1" applyBorder="1" applyAlignment="1">
      <alignment horizontal="center"/>
    </xf>
    <xf numFmtId="0" fontId="0" fillId="0" borderId="17" xfId="0" applyFont="1" applyBorder="1" applyAlignment="1">
      <alignment horizontal="center"/>
    </xf>
    <xf numFmtId="0" fontId="0" fillId="0" borderId="40" xfId="0" applyBorder="1" applyAlignment="1">
      <alignment horizontal="left" vertical="top" wrapText="1"/>
    </xf>
    <xf numFmtId="0" fontId="0" fillId="0" borderId="41" xfId="0" applyBorder="1" applyAlignment="1">
      <alignment horizontal="left" vertical="top" wrapText="1"/>
    </xf>
    <xf numFmtId="0" fontId="0" fillId="0" borderId="44" xfId="0" applyBorder="1" applyAlignment="1">
      <alignment horizontal="left" vertical="top" wrapText="1"/>
    </xf>
    <xf numFmtId="0" fontId="0" fillId="0" borderId="9" xfId="0" applyBorder="1" applyAlignment="1">
      <alignment horizontal="left" vertical="top" wrapText="1"/>
    </xf>
    <xf numFmtId="0" fontId="0" fillId="0" borderId="0" xfId="0" applyBorder="1" applyAlignment="1">
      <alignment horizontal="left" vertical="top" wrapText="1"/>
    </xf>
    <xf numFmtId="0" fontId="0" fillId="0" borderId="10" xfId="0" applyBorder="1" applyAlignment="1">
      <alignment horizontal="left" vertical="top" wrapText="1"/>
    </xf>
    <xf numFmtId="0" fontId="0" fillId="0" borderId="11" xfId="0" applyBorder="1" applyAlignment="1">
      <alignment horizontal="left" vertical="top" wrapText="1"/>
    </xf>
    <xf numFmtId="0" fontId="0" fillId="0" borderId="12" xfId="0" applyBorder="1" applyAlignment="1">
      <alignment horizontal="left" vertical="top" wrapText="1"/>
    </xf>
    <xf numFmtId="0" fontId="0" fillId="0" borderId="13" xfId="0" applyBorder="1" applyAlignment="1">
      <alignment horizontal="left" vertical="top" wrapText="1"/>
    </xf>
    <xf numFmtId="0" fontId="0" fillId="4" borderId="0" xfId="0" applyFill="1" applyAlignment="1">
      <alignment horizontal="left" vertical="top" wrapText="1"/>
    </xf>
    <xf numFmtId="0" fontId="0" fillId="0" borderId="0" xfId="0" applyAlignment="1">
      <alignment horizontal="center"/>
    </xf>
    <xf numFmtId="0" fontId="6" fillId="0" borderId="0" xfId="0" applyFont="1" applyAlignment="1">
      <alignment horizontal="center"/>
    </xf>
    <xf numFmtId="0" fontId="3" fillId="0" borderId="0" xfId="0" applyFont="1" applyAlignment="1">
      <alignment horizontal="center"/>
    </xf>
    <xf numFmtId="0" fontId="3" fillId="2" borderId="0" xfId="0" applyFont="1" applyFill="1" applyAlignment="1">
      <alignment horizontal="right"/>
    </xf>
  </cellXfs>
  <cellStyles count="1">
    <cellStyle name="Normal" xfId="0" builtinId="0"/>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BB48C3-C56B-4B11-92E3-082349F6BFDF}">
  <dimension ref="A1:B21"/>
  <sheetViews>
    <sheetView workbookViewId="0">
      <selection activeCell="B12" sqref="B12"/>
    </sheetView>
  </sheetViews>
  <sheetFormatPr baseColWidth="10" defaultRowHeight="15" x14ac:dyDescent="0.25"/>
  <cols>
    <col min="1" max="1" width="3.140625" customWidth="1"/>
    <col min="2" max="2" width="49.28515625" customWidth="1"/>
  </cols>
  <sheetData>
    <row r="1" spans="1:2" x14ac:dyDescent="0.25">
      <c r="A1" t="s">
        <v>757</v>
      </c>
      <c r="B1" s="69"/>
    </row>
    <row r="7" spans="1:2" x14ac:dyDescent="0.25">
      <c r="A7" t="s">
        <v>758</v>
      </c>
    </row>
    <row r="8" spans="1:2" x14ac:dyDescent="0.25">
      <c r="B8" s="70" t="s">
        <v>755</v>
      </c>
    </row>
    <row r="9" spans="1:2" x14ac:dyDescent="0.25">
      <c r="B9" s="70" t="s">
        <v>756</v>
      </c>
    </row>
    <row r="10" spans="1:2" x14ac:dyDescent="0.25">
      <c r="B10" s="70" t="s">
        <v>761</v>
      </c>
    </row>
    <row r="11" spans="1:2" x14ac:dyDescent="0.25">
      <c r="B11" s="70" t="s">
        <v>765</v>
      </c>
    </row>
    <row r="12" spans="1:2" x14ac:dyDescent="0.25">
      <c r="B12" t="s">
        <v>760</v>
      </c>
    </row>
    <row r="20" spans="1:2" x14ac:dyDescent="0.25">
      <c r="A20" t="s">
        <v>684</v>
      </c>
    </row>
    <row r="21" spans="1:2" x14ac:dyDescent="0.25">
      <c r="B21" t="s">
        <v>669</v>
      </c>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40DEC2-79FC-45E0-ABD6-B4E7DB793094}">
  <dimension ref="A1:C62"/>
  <sheetViews>
    <sheetView topLeftCell="A43" workbookViewId="0">
      <selection activeCell="A53" sqref="A53:C62"/>
    </sheetView>
  </sheetViews>
  <sheetFormatPr baseColWidth="10" defaultColWidth="16.5703125" defaultRowHeight="15" x14ac:dyDescent="0.25"/>
  <sheetData>
    <row r="1" spans="1:3" x14ac:dyDescent="0.25">
      <c r="A1" t="s">
        <v>111</v>
      </c>
      <c r="B1" t="s">
        <v>0</v>
      </c>
      <c r="C1" t="s">
        <v>112</v>
      </c>
    </row>
    <row r="2" spans="1:3" x14ac:dyDescent="0.25">
      <c r="A2">
        <v>40</v>
      </c>
      <c r="B2">
        <v>-25</v>
      </c>
      <c r="C2">
        <v>-50</v>
      </c>
    </row>
    <row r="3" spans="1:3" x14ac:dyDescent="0.25">
      <c r="A3">
        <v>41</v>
      </c>
      <c r="B3">
        <v>-25</v>
      </c>
      <c r="C3">
        <v>-50</v>
      </c>
    </row>
    <row r="4" spans="1:3" x14ac:dyDescent="0.25">
      <c r="A4">
        <v>42</v>
      </c>
      <c r="B4">
        <v>-25</v>
      </c>
      <c r="C4">
        <v>-50</v>
      </c>
    </row>
    <row r="5" spans="1:3" x14ac:dyDescent="0.25">
      <c r="A5">
        <v>43</v>
      </c>
      <c r="B5">
        <v>-25</v>
      </c>
      <c r="C5">
        <v>-50</v>
      </c>
    </row>
    <row r="6" spans="1:3" x14ac:dyDescent="0.25">
      <c r="A6">
        <v>44</v>
      </c>
      <c r="B6">
        <v>-25</v>
      </c>
      <c r="C6">
        <v>-50</v>
      </c>
    </row>
    <row r="7" spans="1:3" x14ac:dyDescent="0.25">
      <c r="A7">
        <v>45</v>
      </c>
      <c r="B7">
        <v>-25</v>
      </c>
      <c r="C7">
        <v>-50</v>
      </c>
    </row>
    <row r="8" spans="1:3" x14ac:dyDescent="0.25">
      <c r="A8">
        <v>46</v>
      </c>
      <c r="B8">
        <v>-25</v>
      </c>
      <c r="C8">
        <v>-50</v>
      </c>
    </row>
    <row r="9" spans="1:3" x14ac:dyDescent="0.25">
      <c r="A9">
        <v>47</v>
      </c>
      <c r="B9">
        <v>-25</v>
      </c>
      <c r="C9">
        <v>-50</v>
      </c>
    </row>
    <row r="10" spans="1:3" x14ac:dyDescent="0.25">
      <c r="A10">
        <v>48</v>
      </c>
      <c r="B10">
        <v>-25</v>
      </c>
      <c r="C10">
        <v>-50</v>
      </c>
    </row>
    <row r="11" spans="1:3" x14ac:dyDescent="0.25">
      <c r="A11">
        <v>49</v>
      </c>
      <c r="B11">
        <v>-25</v>
      </c>
      <c r="C11">
        <v>-50</v>
      </c>
    </row>
    <row r="12" spans="1:3" x14ac:dyDescent="0.25">
      <c r="A12">
        <v>50</v>
      </c>
      <c r="B12">
        <v>-25</v>
      </c>
      <c r="C12">
        <v>-50</v>
      </c>
    </row>
    <row r="13" spans="1:3" x14ac:dyDescent="0.25">
      <c r="A13">
        <v>51</v>
      </c>
      <c r="B13">
        <v>-10</v>
      </c>
      <c r="C13">
        <v>-25</v>
      </c>
    </row>
    <row r="14" spans="1:3" x14ac:dyDescent="0.25">
      <c r="A14">
        <v>52</v>
      </c>
      <c r="B14">
        <v>-10</v>
      </c>
      <c r="C14">
        <v>-25</v>
      </c>
    </row>
    <row r="15" spans="1:3" x14ac:dyDescent="0.25">
      <c r="A15">
        <v>53</v>
      </c>
      <c r="B15">
        <v>-10</v>
      </c>
      <c r="C15">
        <v>-25</v>
      </c>
    </row>
    <row r="16" spans="1:3" x14ac:dyDescent="0.25">
      <c r="A16">
        <v>54</v>
      </c>
      <c r="B16">
        <v>-10</v>
      </c>
      <c r="C16">
        <v>-25</v>
      </c>
    </row>
    <row r="17" spans="1:3" x14ac:dyDescent="0.25">
      <c r="A17">
        <v>55</v>
      </c>
      <c r="B17">
        <v>-10</v>
      </c>
      <c r="C17">
        <v>-25</v>
      </c>
    </row>
    <row r="18" spans="1:3" x14ac:dyDescent="0.25">
      <c r="A18">
        <v>56</v>
      </c>
      <c r="B18">
        <v>-10</v>
      </c>
      <c r="C18">
        <v>-25</v>
      </c>
    </row>
    <row r="19" spans="1:3" x14ac:dyDescent="0.25">
      <c r="A19">
        <v>57</v>
      </c>
      <c r="B19">
        <v>-10</v>
      </c>
      <c r="C19">
        <v>-25</v>
      </c>
    </row>
    <row r="20" spans="1:3" x14ac:dyDescent="0.25">
      <c r="A20">
        <v>58</v>
      </c>
      <c r="B20">
        <v>-10</v>
      </c>
      <c r="C20">
        <v>-25</v>
      </c>
    </row>
    <row r="21" spans="1:3" x14ac:dyDescent="0.25">
      <c r="A21">
        <v>59</v>
      </c>
      <c r="B21">
        <v>-10</v>
      </c>
      <c r="C21">
        <v>-25</v>
      </c>
    </row>
    <row r="22" spans="1:3" x14ac:dyDescent="0.25">
      <c r="A22">
        <v>60</v>
      </c>
      <c r="B22">
        <v>-10</v>
      </c>
      <c r="C22">
        <v>-25</v>
      </c>
    </row>
    <row r="23" spans="1:3" x14ac:dyDescent="0.25">
      <c r="A23">
        <v>61</v>
      </c>
      <c r="B23">
        <v>0</v>
      </c>
      <c r="C23">
        <v>-10</v>
      </c>
    </row>
    <row r="24" spans="1:3" x14ac:dyDescent="0.25">
      <c r="A24">
        <v>62</v>
      </c>
      <c r="B24">
        <v>0</v>
      </c>
      <c r="C24">
        <v>-10</v>
      </c>
    </row>
    <row r="25" spans="1:3" x14ac:dyDescent="0.25">
      <c r="A25">
        <v>63</v>
      </c>
      <c r="B25">
        <v>0</v>
      </c>
      <c r="C25">
        <v>-10</v>
      </c>
    </row>
    <row r="26" spans="1:3" x14ac:dyDescent="0.25">
      <c r="A26">
        <v>64</v>
      </c>
      <c r="B26">
        <v>0</v>
      </c>
      <c r="C26">
        <v>-10</v>
      </c>
    </row>
    <row r="27" spans="1:3" x14ac:dyDescent="0.25">
      <c r="A27">
        <v>65</v>
      </c>
      <c r="B27">
        <v>0</v>
      </c>
      <c r="C27">
        <v>-10</v>
      </c>
    </row>
    <row r="28" spans="1:3" x14ac:dyDescent="0.25">
      <c r="A28">
        <v>66</v>
      </c>
      <c r="B28">
        <v>0</v>
      </c>
      <c r="C28">
        <v>-10</v>
      </c>
    </row>
    <row r="29" spans="1:3" x14ac:dyDescent="0.25">
      <c r="A29">
        <v>67</v>
      </c>
      <c r="B29">
        <v>0</v>
      </c>
      <c r="C29">
        <v>-10</v>
      </c>
    </row>
    <row r="30" spans="1:3" x14ac:dyDescent="0.25">
      <c r="A30">
        <v>68</v>
      </c>
      <c r="B30">
        <v>0</v>
      </c>
      <c r="C30">
        <v>-10</v>
      </c>
    </row>
    <row r="31" spans="1:3" x14ac:dyDescent="0.25">
      <c r="A31">
        <v>69</v>
      </c>
      <c r="B31">
        <v>0</v>
      </c>
      <c r="C31">
        <v>-10</v>
      </c>
    </row>
    <row r="32" spans="1:3" x14ac:dyDescent="0.25">
      <c r="A32">
        <v>70</v>
      </c>
      <c r="B32">
        <v>0</v>
      </c>
      <c r="C32">
        <v>-10</v>
      </c>
    </row>
    <row r="33" spans="1:3" x14ac:dyDescent="0.25">
      <c r="A33">
        <v>71</v>
      </c>
      <c r="B33">
        <v>10</v>
      </c>
      <c r="C33">
        <v>0</v>
      </c>
    </row>
    <row r="34" spans="1:3" x14ac:dyDescent="0.25">
      <c r="A34">
        <v>72</v>
      </c>
      <c r="B34">
        <v>10</v>
      </c>
      <c r="C34">
        <v>0</v>
      </c>
    </row>
    <row r="35" spans="1:3" x14ac:dyDescent="0.25">
      <c r="A35">
        <v>73</v>
      </c>
      <c r="B35">
        <v>10</v>
      </c>
      <c r="C35">
        <v>0</v>
      </c>
    </row>
    <row r="36" spans="1:3" x14ac:dyDescent="0.25">
      <c r="A36">
        <v>74</v>
      </c>
      <c r="B36">
        <v>10</v>
      </c>
      <c r="C36">
        <v>0</v>
      </c>
    </row>
    <row r="37" spans="1:3" x14ac:dyDescent="0.25">
      <c r="A37">
        <v>75</v>
      </c>
      <c r="B37">
        <v>10</v>
      </c>
      <c r="C37">
        <v>0</v>
      </c>
    </row>
    <row r="38" spans="1:3" x14ac:dyDescent="0.25">
      <c r="A38">
        <v>76</v>
      </c>
      <c r="B38">
        <v>10</v>
      </c>
      <c r="C38">
        <v>0</v>
      </c>
    </row>
    <row r="39" spans="1:3" x14ac:dyDescent="0.25">
      <c r="A39">
        <v>77</v>
      </c>
      <c r="B39">
        <v>10</v>
      </c>
      <c r="C39">
        <v>0</v>
      </c>
    </row>
    <row r="40" spans="1:3" x14ac:dyDescent="0.25">
      <c r="A40">
        <v>78</v>
      </c>
      <c r="B40">
        <v>10</v>
      </c>
      <c r="C40">
        <v>0</v>
      </c>
    </row>
    <row r="41" spans="1:3" x14ac:dyDescent="0.25">
      <c r="A41">
        <v>79</v>
      </c>
      <c r="B41">
        <v>10</v>
      </c>
      <c r="C41">
        <v>0</v>
      </c>
    </row>
    <row r="42" spans="1:3" x14ac:dyDescent="0.25">
      <c r="A42">
        <v>80</v>
      </c>
      <c r="B42">
        <v>10</v>
      </c>
      <c r="C42">
        <v>0</v>
      </c>
    </row>
    <row r="43" spans="1:3" x14ac:dyDescent="0.25">
      <c r="A43">
        <v>81</v>
      </c>
      <c r="B43">
        <v>25</v>
      </c>
      <c r="C43">
        <v>10</v>
      </c>
    </row>
    <row r="44" spans="1:3" x14ac:dyDescent="0.25">
      <c r="A44">
        <v>82</v>
      </c>
      <c r="B44">
        <v>25</v>
      </c>
      <c r="C44">
        <v>10</v>
      </c>
    </row>
    <row r="45" spans="1:3" x14ac:dyDescent="0.25">
      <c r="A45">
        <v>83</v>
      </c>
      <c r="B45">
        <v>25</v>
      </c>
      <c r="C45">
        <v>10</v>
      </c>
    </row>
    <row r="46" spans="1:3" x14ac:dyDescent="0.25">
      <c r="A46">
        <v>84</v>
      </c>
      <c r="B46">
        <v>25</v>
      </c>
      <c r="C46">
        <v>10</v>
      </c>
    </row>
    <row r="47" spans="1:3" x14ac:dyDescent="0.25">
      <c r="A47">
        <v>85</v>
      </c>
      <c r="B47">
        <v>25</v>
      </c>
      <c r="C47">
        <v>10</v>
      </c>
    </row>
    <row r="48" spans="1:3" x14ac:dyDescent="0.25">
      <c r="A48">
        <v>86</v>
      </c>
      <c r="B48">
        <v>25</v>
      </c>
      <c r="C48">
        <v>10</v>
      </c>
    </row>
    <row r="49" spans="1:3" x14ac:dyDescent="0.25">
      <c r="A49">
        <v>87</v>
      </c>
      <c r="B49">
        <v>25</v>
      </c>
      <c r="C49">
        <v>10</v>
      </c>
    </row>
    <row r="50" spans="1:3" x14ac:dyDescent="0.25">
      <c r="A50">
        <v>88</v>
      </c>
      <c r="B50">
        <v>25</v>
      </c>
      <c r="C50">
        <v>10</v>
      </c>
    </row>
    <row r="51" spans="1:3" x14ac:dyDescent="0.25">
      <c r="A51">
        <v>89</v>
      </c>
      <c r="B51">
        <v>25</v>
      </c>
      <c r="C51">
        <v>10</v>
      </c>
    </row>
    <row r="52" spans="1:3" x14ac:dyDescent="0.25">
      <c r="A52">
        <v>90</v>
      </c>
      <c r="B52">
        <v>25</v>
      </c>
      <c r="C52">
        <v>10</v>
      </c>
    </row>
    <row r="53" spans="1:3" x14ac:dyDescent="0.25">
      <c r="A53">
        <v>91</v>
      </c>
      <c r="B53">
        <v>50</v>
      </c>
      <c r="C53">
        <v>25</v>
      </c>
    </row>
    <row r="54" spans="1:3" x14ac:dyDescent="0.25">
      <c r="A54">
        <v>92</v>
      </c>
      <c r="B54">
        <v>50</v>
      </c>
      <c r="C54">
        <v>25</v>
      </c>
    </row>
    <row r="55" spans="1:3" x14ac:dyDescent="0.25">
      <c r="A55">
        <v>93</v>
      </c>
      <c r="B55">
        <v>50</v>
      </c>
      <c r="C55">
        <v>25</v>
      </c>
    </row>
    <row r="56" spans="1:3" x14ac:dyDescent="0.25">
      <c r="A56">
        <v>94</v>
      </c>
      <c r="B56">
        <v>50</v>
      </c>
      <c r="C56">
        <v>25</v>
      </c>
    </row>
    <row r="57" spans="1:3" x14ac:dyDescent="0.25">
      <c r="A57">
        <v>95</v>
      </c>
      <c r="B57">
        <v>50</v>
      </c>
      <c r="C57">
        <v>25</v>
      </c>
    </row>
    <row r="58" spans="1:3" x14ac:dyDescent="0.25">
      <c r="A58">
        <v>96</v>
      </c>
      <c r="B58">
        <v>50</v>
      </c>
      <c r="C58">
        <v>25</v>
      </c>
    </row>
    <row r="59" spans="1:3" x14ac:dyDescent="0.25">
      <c r="A59">
        <v>97</v>
      </c>
      <c r="B59">
        <v>50</v>
      </c>
      <c r="C59">
        <v>25</v>
      </c>
    </row>
    <row r="60" spans="1:3" x14ac:dyDescent="0.25">
      <c r="A60">
        <v>98</v>
      </c>
      <c r="B60">
        <v>50</v>
      </c>
      <c r="C60">
        <v>25</v>
      </c>
    </row>
    <row r="61" spans="1:3" x14ac:dyDescent="0.25">
      <c r="A61">
        <v>99</v>
      </c>
      <c r="B61">
        <v>50</v>
      </c>
      <c r="C61">
        <v>25</v>
      </c>
    </row>
    <row r="62" spans="1:3" x14ac:dyDescent="0.25">
      <c r="A62">
        <v>100</v>
      </c>
      <c r="B62">
        <v>50</v>
      </c>
      <c r="C62">
        <v>25</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8F7C18-1FAB-4752-B923-6CA0658AA6AE}">
  <dimension ref="A1:G29"/>
  <sheetViews>
    <sheetView workbookViewId="0">
      <selection activeCell="A3" sqref="A3:A5"/>
    </sheetView>
  </sheetViews>
  <sheetFormatPr baseColWidth="10" defaultRowHeight="15" x14ac:dyDescent="0.25"/>
  <cols>
    <col min="1" max="1" width="30.140625" bestFit="1" customWidth="1"/>
    <col min="2" max="2" width="14.28515625" customWidth="1"/>
    <col min="5" max="5" width="12.85546875" bestFit="1" customWidth="1"/>
    <col min="10" max="10" width="13.140625" bestFit="1" customWidth="1"/>
  </cols>
  <sheetData>
    <row r="1" spans="1:7" x14ac:dyDescent="0.25">
      <c r="A1" t="s">
        <v>221</v>
      </c>
      <c r="B1" t="s">
        <v>224</v>
      </c>
      <c r="C1" t="s">
        <v>668</v>
      </c>
      <c r="D1" t="s">
        <v>667</v>
      </c>
      <c r="E1" t="s">
        <v>670</v>
      </c>
      <c r="G1" t="s">
        <v>140</v>
      </c>
    </row>
    <row r="2" spans="1:7" x14ac:dyDescent="0.25">
      <c r="A2" t="s">
        <v>155</v>
      </c>
      <c r="B2">
        <f>C2+D2</f>
        <v>0</v>
      </c>
      <c r="C2">
        <f>2*(Ficha!N25/3)</f>
        <v>0</v>
      </c>
      <c r="D2">
        <f>Origen!R24</f>
        <v>0</v>
      </c>
      <c r="G2" t="s">
        <v>142</v>
      </c>
    </row>
    <row r="3" spans="1:7" x14ac:dyDescent="0.25">
      <c r="A3" t="s">
        <v>156</v>
      </c>
      <c r="B3">
        <f t="shared" ref="B3:B29" si="0">C3+D3</f>
        <v>0</v>
      </c>
      <c r="C3">
        <f>2*(Ficha!N25/3)</f>
        <v>0</v>
      </c>
      <c r="D3">
        <f>Origen!AK24</f>
        <v>0</v>
      </c>
      <c r="G3" t="s">
        <v>135</v>
      </c>
    </row>
    <row r="4" spans="1:7" x14ac:dyDescent="0.25">
      <c r="A4" t="s">
        <v>157</v>
      </c>
      <c r="B4">
        <f t="shared" si="0"/>
        <v>0</v>
      </c>
      <c r="C4">
        <f>2*(Ficha!N25/3)</f>
        <v>0</v>
      </c>
      <c r="D4">
        <f>Origen!AB24</f>
        <v>0</v>
      </c>
      <c r="G4" t="s">
        <v>121</v>
      </c>
    </row>
    <row r="5" spans="1:7" x14ac:dyDescent="0.25">
      <c r="A5" t="s">
        <v>158</v>
      </c>
      <c r="B5">
        <f t="shared" si="0"/>
        <v>0</v>
      </c>
      <c r="C5">
        <f>Ficha!N25/3</f>
        <v>0</v>
      </c>
      <c r="D5">
        <f>Origen!AJ24</f>
        <v>0</v>
      </c>
      <c r="G5" t="s">
        <v>124</v>
      </c>
    </row>
    <row r="6" spans="1:7" x14ac:dyDescent="0.25">
      <c r="A6" t="s">
        <v>159</v>
      </c>
      <c r="B6">
        <f t="shared" si="0"/>
        <v>0</v>
      </c>
      <c r="C6">
        <f>(Ficha!N23+Ficha!N25)/3</f>
        <v>0</v>
      </c>
      <c r="D6">
        <f>Origen!W24</f>
        <v>0</v>
      </c>
    </row>
    <row r="7" spans="1:7" x14ac:dyDescent="0.25">
      <c r="A7" t="s">
        <v>172</v>
      </c>
      <c r="B7">
        <f t="shared" si="0"/>
        <v>0</v>
      </c>
      <c r="C7">
        <f>2*(Ficha!N25/3)</f>
        <v>0</v>
      </c>
      <c r="G7" t="s">
        <v>123</v>
      </c>
    </row>
    <row r="8" spans="1:7" x14ac:dyDescent="0.25">
      <c r="A8" t="s">
        <v>160</v>
      </c>
      <c r="B8">
        <f t="shared" si="0"/>
        <v>0</v>
      </c>
      <c r="C8">
        <f>Ficha!N24/2</f>
        <v>0</v>
      </c>
    </row>
    <row r="9" spans="1:7" x14ac:dyDescent="0.25">
      <c r="A9" t="s">
        <v>143</v>
      </c>
      <c r="B9">
        <f t="shared" si="0"/>
        <v>0</v>
      </c>
      <c r="C9">
        <f>Ficha!N24/2</f>
        <v>0</v>
      </c>
      <c r="G9" t="s">
        <v>136</v>
      </c>
    </row>
    <row r="10" spans="1:7" x14ac:dyDescent="0.25">
      <c r="A10" t="s">
        <v>145</v>
      </c>
      <c r="B10">
        <f t="shared" si="0"/>
        <v>0</v>
      </c>
      <c r="C10">
        <f>Ficha!N24/3</f>
        <v>0</v>
      </c>
    </row>
    <row r="11" spans="1:7" x14ac:dyDescent="0.25">
      <c r="A11" t="s">
        <v>144</v>
      </c>
      <c r="B11">
        <f t="shared" si="0"/>
        <v>0</v>
      </c>
      <c r="C11">
        <f>Ficha!N24/2</f>
        <v>0</v>
      </c>
      <c r="D11">
        <f>Origen!AE24</f>
        <v>0</v>
      </c>
    </row>
    <row r="12" spans="1:7" x14ac:dyDescent="0.25">
      <c r="A12" t="s">
        <v>161</v>
      </c>
      <c r="B12">
        <f t="shared" si="0"/>
        <v>0</v>
      </c>
      <c r="C12">
        <f>(Ficha!N25+Ficha!N24)/4</f>
        <v>0</v>
      </c>
      <c r="G12" t="s">
        <v>125</v>
      </c>
    </row>
    <row r="13" spans="1:7" x14ac:dyDescent="0.25">
      <c r="A13" t="s">
        <v>162</v>
      </c>
      <c r="B13">
        <f t="shared" si="0"/>
        <v>0</v>
      </c>
      <c r="C13">
        <f>Ficha!N24/2</f>
        <v>0</v>
      </c>
      <c r="G13" t="s">
        <v>129</v>
      </c>
    </row>
    <row r="14" spans="1:7" x14ac:dyDescent="0.25">
      <c r="A14" t="s">
        <v>163</v>
      </c>
      <c r="B14">
        <f t="shared" si="0"/>
        <v>0</v>
      </c>
      <c r="C14">
        <f>Ficha!N24/2</f>
        <v>0</v>
      </c>
    </row>
    <row r="15" spans="1:7" x14ac:dyDescent="0.25">
      <c r="A15" t="s">
        <v>146</v>
      </c>
      <c r="B15">
        <f t="shared" si="0"/>
        <v>0</v>
      </c>
      <c r="C15">
        <f>Ficha!N24/2</f>
        <v>0</v>
      </c>
      <c r="G15" t="s">
        <v>128</v>
      </c>
    </row>
    <row r="16" spans="1:7" x14ac:dyDescent="0.25">
      <c r="A16" t="s">
        <v>164</v>
      </c>
      <c r="B16">
        <f t="shared" si="0"/>
        <v>0</v>
      </c>
      <c r="C16">
        <f>Ficha!N24/3</f>
        <v>0</v>
      </c>
    </row>
    <row r="17" spans="1:7" x14ac:dyDescent="0.25">
      <c r="A17" t="s">
        <v>165</v>
      </c>
      <c r="B17">
        <f t="shared" si="0"/>
        <v>0</v>
      </c>
      <c r="C17">
        <f>Ficha!N24/2</f>
        <v>0</v>
      </c>
      <c r="G17" t="s">
        <v>127</v>
      </c>
    </row>
    <row r="18" spans="1:7" x14ac:dyDescent="0.25">
      <c r="A18" t="s">
        <v>166</v>
      </c>
      <c r="B18">
        <f t="shared" si="0"/>
        <v>0</v>
      </c>
      <c r="C18">
        <f>Ficha!N23/2</f>
        <v>0</v>
      </c>
      <c r="G18" t="s">
        <v>130</v>
      </c>
    </row>
    <row r="19" spans="1:7" x14ac:dyDescent="0.25">
      <c r="A19" t="s">
        <v>167</v>
      </c>
      <c r="B19">
        <f t="shared" si="0"/>
        <v>0</v>
      </c>
      <c r="C19">
        <f>(Ficha!N21+Ficha!N23)/2</f>
        <v>0</v>
      </c>
    </row>
    <row r="20" spans="1:7" x14ac:dyDescent="0.25">
      <c r="A20" t="s">
        <v>173</v>
      </c>
      <c r="B20">
        <f t="shared" si="0"/>
        <v>0</v>
      </c>
      <c r="C20">
        <f>Ficha!N24/3</f>
        <v>0</v>
      </c>
      <c r="D20">
        <f>Origen!AH24</f>
        <v>0</v>
      </c>
      <c r="G20" t="s">
        <v>122</v>
      </c>
    </row>
    <row r="21" spans="1:7" x14ac:dyDescent="0.25">
      <c r="A21" t="s">
        <v>168</v>
      </c>
      <c r="B21">
        <f t="shared" si="0"/>
        <v>0</v>
      </c>
      <c r="C21">
        <f>(Ficha!N24+Ficha!N25)/4</f>
        <v>0</v>
      </c>
      <c r="D21">
        <f>Origen!T24</f>
        <v>0</v>
      </c>
      <c r="G21" t="s">
        <v>132</v>
      </c>
    </row>
    <row r="22" spans="1:7" x14ac:dyDescent="0.25">
      <c r="A22" t="s">
        <v>169</v>
      </c>
      <c r="B22">
        <f t="shared" si="0"/>
        <v>0</v>
      </c>
      <c r="C22">
        <f>Ficha!N23/2</f>
        <v>0</v>
      </c>
      <c r="D22">
        <f>Origen!Z24</f>
        <v>0</v>
      </c>
    </row>
    <row r="23" spans="1:7" x14ac:dyDescent="0.25">
      <c r="A23" t="s">
        <v>171</v>
      </c>
      <c r="B23">
        <f t="shared" si="0"/>
        <v>0</v>
      </c>
      <c r="C23">
        <f>Ficha!N24/2</f>
        <v>0</v>
      </c>
      <c r="G23" t="s">
        <v>126</v>
      </c>
    </row>
    <row r="24" spans="1:7" x14ac:dyDescent="0.25">
      <c r="A24" t="s">
        <v>170</v>
      </c>
      <c r="B24">
        <f t="shared" si="0"/>
        <v>0</v>
      </c>
      <c r="C24">
        <f>Ficha!N24/2</f>
        <v>0</v>
      </c>
      <c r="D24">
        <f>Origen!V24</f>
        <v>0</v>
      </c>
    </row>
    <row r="25" spans="1:7" x14ac:dyDescent="0.25">
      <c r="A25" t="s">
        <v>174</v>
      </c>
      <c r="B25">
        <f t="shared" si="0"/>
        <v>0</v>
      </c>
      <c r="C25">
        <f>(Ficha!N23+Ficha!N25)/3</f>
        <v>0</v>
      </c>
    </row>
    <row r="26" spans="1:7" x14ac:dyDescent="0.25">
      <c r="A26" t="s">
        <v>175</v>
      </c>
      <c r="B26">
        <f t="shared" si="0"/>
        <v>0</v>
      </c>
      <c r="C26">
        <f>(Ficha!N24+Ficha!N27)/3</f>
        <v>0</v>
      </c>
    </row>
    <row r="27" spans="1:7" x14ac:dyDescent="0.25">
      <c r="A27" t="s">
        <v>176</v>
      </c>
      <c r="B27">
        <f t="shared" si="0"/>
        <v>0</v>
      </c>
      <c r="C27">
        <f>(Ficha!N24+Ficha!N25)/2</f>
        <v>0</v>
      </c>
    </row>
    <row r="28" spans="1:7" x14ac:dyDescent="0.25">
      <c r="A28" t="s">
        <v>177</v>
      </c>
      <c r="B28">
        <f t="shared" si="0"/>
        <v>0</v>
      </c>
      <c r="C28">
        <f>Ficha!N25/2</f>
        <v>0</v>
      </c>
    </row>
    <row r="29" spans="1:7" x14ac:dyDescent="0.25">
      <c r="A29" t="s">
        <v>178</v>
      </c>
      <c r="B29">
        <f t="shared" si="0"/>
        <v>0</v>
      </c>
      <c r="C29">
        <f>(Ficha!N24+Ficha!N25)/3</f>
        <v>0</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D6B871-071F-4F99-84E4-619CFBCBAF9E}">
  <dimension ref="A1:AK58"/>
  <sheetViews>
    <sheetView topLeftCell="A4" workbookViewId="0">
      <selection activeCell="H32" sqref="H32"/>
    </sheetView>
  </sheetViews>
  <sheetFormatPr baseColWidth="10" defaultRowHeight="11.25" x14ac:dyDescent="0.2"/>
  <cols>
    <col min="1" max="1" width="17.28515625" style="54" customWidth="1"/>
    <col min="2" max="2" width="3.28515625" style="54" customWidth="1"/>
    <col min="3" max="3" width="9.140625" style="54" bestFit="1" customWidth="1"/>
    <col min="4" max="4" width="6.7109375" style="54" bestFit="1" customWidth="1"/>
    <col min="5" max="5" width="22.42578125" style="54" bestFit="1" customWidth="1"/>
    <col min="6" max="6" width="14.5703125" style="54" bestFit="1" customWidth="1"/>
    <col min="7" max="7" width="10" style="54" bestFit="1" customWidth="1"/>
    <col min="8" max="8" width="9.7109375" style="54" bestFit="1" customWidth="1"/>
    <col min="9" max="9" width="18.28515625" style="54" bestFit="1" customWidth="1"/>
    <col min="10" max="10" width="21.5703125" style="54" bestFit="1" customWidth="1"/>
    <col min="11" max="11" width="5.7109375" style="54" bestFit="1" customWidth="1"/>
    <col min="12" max="12" width="21.5703125" style="54" bestFit="1" customWidth="1"/>
    <col min="13" max="13" width="5.42578125" style="54" bestFit="1" customWidth="1"/>
    <col min="14" max="14" width="10.7109375" style="54" bestFit="1" customWidth="1"/>
    <col min="15" max="15" width="11.85546875" style="54" bestFit="1" customWidth="1"/>
    <col min="16" max="16" width="7.28515625" style="54" bestFit="1" customWidth="1"/>
    <col min="17" max="17" width="9.140625" style="54" bestFit="1" customWidth="1"/>
    <col min="18" max="18" width="11.5703125" style="54" bestFit="1" customWidth="1"/>
    <col min="19" max="19" width="14.140625" style="54" bestFit="1" customWidth="1"/>
    <col min="20" max="20" width="6.85546875" style="54" bestFit="1" customWidth="1"/>
    <col min="21" max="21" width="7.7109375" style="54" bestFit="1" customWidth="1"/>
    <col min="22" max="22" width="6.85546875" style="54" bestFit="1" customWidth="1"/>
    <col min="23" max="23" width="10.85546875" style="54" bestFit="1" customWidth="1"/>
    <col min="24" max="24" width="18.7109375" style="54" bestFit="1" customWidth="1"/>
    <col min="25" max="25" width="8.7109375" style="54" bestFit="1" customWidth="1"/>
    <col min="26" max="26" width="5" style="54" bestFit="1" customWidth="1"/>
    <col min="27" max="27" width="8.140625" style="54" bestFit="1" customWidth="1"/>
    <col min="28" max="28" width="10" style="54" bestFit="1" customWidth="1"/>
    <col min="29" max="29" width="18.5703125" style="54" bestFit="1" customWidth="1"/>
    <col min="30" max="30" width="4" style="54" bestFit="1" customWidth="1"/>
    <col min="31" max="31" width="22.28515625" style="54" bestFit="1" customWidth="1"/>
    <col min="32" max="16384" width="11.42578125" style="54"/>
  </cols>
  <sheetData>
    <row r="1" spans="1:19" x14ac:dyDescent="0.2">
      <c r="A1" s="54" t="s">
        <v>179</v>
      </c>
      <c r="C1" s="54" t="s">
        <v>180</v>
      </c>
      <c r="D1" s="54" t="s">
        <v>183</v>
      </c>
      <c r="E1" s="54" t="s">
        <v>184</v>
      </c>
      <c r="F1" s="54" t="s">
        <v>185</v>
      </c>
      <c r="G1" s="54" t="s">
        <v>186</v>
      </c>
      <c r="H1" s="54" t="s">
        <v>188</v>
      </c>
      <c r="I1" s="54" t="s">
        <v>189</v>
      </c>
      <c r="J1" s="54" t="s">
        <v>190</v>
      </c>
      <c r="K1" s="54" t="s">
        <v>187</v>
      </c>
      <c r="M1" s="327" t="s">
        <v>591</v>
      </c>
      <c r="N1" s="327"/>
      <c r="O1" s="327"/>
      <c r="P1" s="327"/>
      <c r="Q1" s="327"/>
      <c r="R1" s="327"/>
    </row>
    <row r="2" spans="1:19" x14ac:dyDescent="0.2">
      <c r="A2" s="54" t="s">
        <v>180</v>
      </c>
      <c r="C2" s="54" t="s">
        <v>181</v>
      </c>
      <c r="D2" s="54" t="s">
        <v>191</v>
      </c>
      <c r="E2" s="54" t="s">
        <v>553</v>
      </c>
      <c r="F2" s="54" t="s">
        <v>193</v>
      </c>
      <c r="G2" s="54" t="s">
        <v>199</v>
      </c>
      <c r="H2" s="54" t="s">
        <v>201</v>
      </c>
      <c r="I2" s="54" t="s">
        <v>205</v>
      </c>
      <c r="J2" s="54" t="s">
        <v>209</v>
      </c>
      <c r="K2" s="54" t="s">
        <v>187</v>
      </c>
      <c r="M2" s="54" t="s">
        <v>588</v>
      </c>
      <c r="N2" s="54" t="s">
        <v>101</v>
      </c>
      <c r="O2" s="54" t="s">
        <v>105</v>
      </c>
      <c r="P2" s="54" t="s">
        <v>109</v>
      </c>
      <c r="Q2" s="54" t="s">
        <v>589</v>
      </c>
      <c r="R2" s="54" t="s">
        <v>590</v>
      </c>
      <c r="S2" s="54" t="s">
        <v>111</v>
      </c>
    </row>
    <row r="3" spans="1:19" x14ac:dyDescent="0.2">
      <c r="A3" s="54" t="s">
        <v>183</v>
      </c>
      <c r="C3" s="54" t="s">
        <v>303</v>
      </c>
      <c r="D3" s="54" t="s">
        <v>192</v>
      </c>
      <c r="E3" s="54" t="s">
        <v>554</v>
      </c>
      <c r="F3" s="54" t="s">
        <v>194</v>
      </c>
      <c r="G3" s="54" t="s">
        <v>200</v>
      </c>
      <c r="H3" s="54" t="s">
        <v>308</v>
      </c>
      <c r="I3" s="54" t="s">
        <v>296</v>
      </c>
      <c r="J3" s="54" t="s">
        <v>210</v>
      </c>
      <c r="L3" s="54" t="s">
        <v>201</v>
      </c>
      <c r="M3" s="54">
        <v>20</v>
      </c>
      <c r="N3" s="54">
        <v>60</v>
      </c>
      <c r="O3" s="54">
        <v>40</v>
      </c>
      <c r="P3" s="54">
        <v>60</v>
      </c>
      <c r="Q3" s="54">
        <v>30</v>
      </c>
      <c r="R3" s="54">
        <v>20</v>
      </c>
      <c r="S3" s="54">
        <v>0</v>
      </c>
    </row>
    <row r="4" spans="1:19" x14ac:dyDescent="0.2">
      <c r="A4" s="54" t="s">
        <v>184</v>
      </c>
      <c r="C4" s="54" t="s">
        <v>182</v>
      </c>
      <c r="E4" s="54" t="s">
        <v>555</v>
      </c>
      <c r="F4" s="54" t="s">
        <v>195</v>
      </c>
      <c r="H4" s="54" t="s">
        <v>203</v>
      </c>
      <c r="I4" s="54" t="s">
        <v>206</v>
      </c>
      <c r="J4" s="54" t="s">
        <v>211</v>
      </c>
      <c r="L4" s="54" t="s">
        <v>308</v>
      </c>
      <c r="M4" s="54">
        <v>20</v>
      </c>
      <c r="N4" s="54">
        <v>30</v>
      </c>
      <c r="O4" s="54">
        <v>40</v>
      </c>
      <c r="P4" s="54">
        <v>0</v>
      </c>
      <c r="Q4" s="54">
        <v>20</v>
      </c>
      <c r="R4" s="54">
        <v>0</v>
      </c>
      <c r="S4" s="54">
        <v>0</v>
      </c>
    </row>
    <row r="5" spans="1:19" x14ac:dyDescent="0.2">
      <c r="A5" s="54" t="s">
        <v>185</v>
      </c>
      <c r="E5" s="54" t="s">
        <v>556</v>
      </c>
      <c r="F5" s="54" t="s">
        <v>565</v>
      </c>
      <c r="H5" s="54" t="s">
        <v>204</v>
      </c>
      <c r="I5" s="54" t="s">
        <v>207</v>
      </c>
      <c r="J5" s="54" t="s">
        <v>212</v>
      </c>
      <c r="L5" s="54" t="s">
        <v>181</v>
      </c>
      <c r="M5" s="54">
        <v>100</v>
      </c>
      <c r="N5" s="54">
        <v>100</v>
      </c>
    </row>
    <row r="6" spans="1:19" x14ac:dyDescent="0.2">
      <c r="A6" s="54" t="s">
        <v>186</v>
      </c>
      <c r="E6" s="54" t="s">
        <v>557</v>
      </c>
      <c r="F6" s="54" t="s">
        <v>566</v>
      </c>
      <c r="I6" s="54" t="s">
        <v>297</v>
      </c>
      <c r="J6" s="54" t="s">
        <v>567</v>
      </c>
      <c r="L6" s="54" t="s">
        <v>303</v>
      </c>
      <c r="M6" s="54">
        <v>100</v>
      </c>
      <c r="N6" s="54">
        <v>100</v>
      </c>
    </row>
    <row r="7" spans="1:19" x14ac:dyDescent="0.2">
      <c r="A7" s="54" t="s">
        <v>187</v>
      </c>
      <c r="E7" s="54" t="s">
        <v>558</v>
      </c>
      <c r="F7" s="54" t="s">
        <v>568</v>
      </c>
      <c r="I7" s="54" t="s">
        <v>208</v>
      </c>
      <c r="J7" s="54" t="s">
        <v>569</v>
      </c>
      <c r="L7" s="54" t="s">
        <v>182</v>
      </c>
      <c r="M7" s="54">
        <v>60</v>
      </c>
      <c r="N7" s="54">
        <v>60</v>
      </c>
      <c r="O7" s="54">
        <v>30</v>
      </c>
      <c r="Q7" s="54">
        <v>30</v>
      </c>
    </row>
    <row r="8" spans="1:19" x14ac:dyDescent="0.2">
      <c r="A8" s="54" t="s">
        <v>188</v>
      </c>
      <c r="E8" s="54" t="s">
        <v>559</v>
      </c>
      <c r="I8" s="54" t="s">
        <v>298</v>
      </c>
      <c r="J8" s="54" t="s">
        <v>213</v>
      </c>
    </row>
    <row r="9" spans="1:19" x14ac:dyDescent="0.2">
      <c r="A9" s="54" t="s">
        <v>189</v>
      </c>
      <c r="E9" s="54" t="s">
        <v>560</v>
      </c>
      <c r="J9" s="54" t="s">
        <v>299</v>
      </c>
    </row>
    <row r="10" spans="1:19" x14ac:dyDescent="0.2">
      <c r="A10" s="54" t="s">
        <v>190</v>
      </c>
      <c r="J10" s="54" t="s">
        <v>214</v>
      </c>
    </row>
    <row r="11" spans="1:19" x14ac:dyDescent="0.2">
      <c r="J11" s="54" t="s">
        <v>215</v>
      </c>
    </row>
    <row r="12" spans="1:19" x14ac:dyDescent="0.2">
      <c r="J12" s="54" t="s">
        <v>216</v>
      </c>
    </row>
    <row r="13" spans="1:19" x14ac:dyDescent="0.2">
      <c r="J13" s="54" t="s">
        <v>300</v>
      </c>
    </row>
    <row r="14" spans="1:19" x14ac:dyDescent="0.2">
      <c r="J14" s="54" t="s">
        <v>301</v>
      </c>
    </row>
    <row r="18" spans="1:37" x14ac:dyDescent="0.2">
      <c r="E18" s="54" t="s">
        <v>553</v>
      </c>
      <c r="F18" s="54" t="s">
        <v>550</v>
      </c>
      <c r="G18" s="54" t="s">
        <v>551</v>
      </c>
      <c r="H18" s="54" t="s">
        <v>552</v>
      </c>
    </row>
    <row r="19" spans="1:37" x14ac:dyDescent="0.2">
      <c r="E19" s="54" t="s">
        <v>554</v>
      </c>
      <c r="F19" s="54" t="s">
        <v>550</v>
      </c>
      <c r="G19" s="54" t="s">
        <v>551</v>
      </c>
      <c r="H19" s="54" t="s">
        <v>552</v>
      </c>
    </row>
    <row r="20" spans="1:37" x14ac:dyDescent="0.2">
      <c r="E20" s="54" t="s">
        <v>555</v>
      </c>
      <c r="F20" s="54" t="s">
        <v>550</v>
      </c>
      <c r="G20" s="54" t="s">
        <v>551</v>
      </c>
      <c r="H20" s="54" t="s">
        <v>552</v>
      </c>
    </row>
    <row r="21" spans="1:37" x14ac:dyDescent="0.2">
      <c r="E21" s="54" t="s">
        <v>556</v>
      </c>
      <c r="F21" s="54" t="s">
        <v>550</v>
      </c>
      <c r="G21" s="54" t="s">
        <v>551</v>
      </c>
      <c r="H21" s="54" t="s">
        <v>552</v>
      </c>
    </row>
    <row r="22" spans="1:37" x14ac:dyDescent="0.2">
      <c r="E22" s="54" t="s">
        <v>557</v>
      </c>
      <c r="F22" s="54" t="s">
        <v>550</v>
      </c>
      <c r="G22" s="54" t="s">
        <v>551</v>
      </c>
      <c r="H22" s="54" t="s">
        <v>552</v>
      </c>
    </row>
    <row r="23" spans="1:37" x14ac:dyDescent="0.2">
      <c r="E23" s="54" t="s">
        <v>558</v>
      </c>
      <c r="F23" s="54" t="s">
        <v>550</v>
      </c>
      <c r="G23" s="54" t="s">
        <v>551</v>
      </c>
      <c r="H23" s="54" t="s">
        <v>552</v>
      </c>
      <c r="M23" s="71" t="str">
        <f>Ficha!C35</f>
        <v>Suerte</v>
      </c>
      <c r="N23" s="71" t="str">
        <f>Ficha!C36</f>
        <v>Trepar y Saltar</v>
      </c>
      <c r="O23" s="71" t="str">
        <f>Ficha!L32</f>
        <v>Mod de impacto</v>
      </c>
      <c r="P23" s="71" t="str">
        <f>Ficha!L23</f>
        <v>AGILIDAD</v>
      </c>
      <c r="Q23" s="71" t="str">
        <f>Ficha!L25</f>
        <v>PERCEPCIÓN</v>
      </c>
      <c r="R23" s="54" t="str">
        <f>Habilidades!A2</f>
        <v>Arcos/Ballestas</v>
      </c>
      <c r="S23" s="71" t="str">
        <f>Ficha!C25</f>
        <v>Acechar/Discreción</v>
      </c>
      <c r="T23" s="54" t="str">
        <f>Habilidades!A21</f>
        <v>Rastrear</v>
      </c>
      <c r="U23" s="71" t="str">
        <f>Ficha!C32</f>
        <v>Investigar</v>
      </c>
      <c r="V23" s="54" t="str">
        <f>Habilidades!A24</f>
        <v>Trampas</v>
      </c>
      <c r="W23" s="54" t="str">
        <f>Habilidades!A6</f>
        <v>Armas Blancas</v>
      </c>
      <c r="X23" s="71" t="str">
        <f>Ficha!C26</f>
        <v>Combate Cuerpo a Cuerpo</v>
      </c>
      <c r="Y23" s="71" t="str">
        <f>Ficha!C28</f>
        <v>Esconderse</v>
      </c>
      <c r="Z23" s="54" t="str">
        <f>Habilidades!A22</f>
        <v>Robar</v>
      </c>
      <c r="AA23" s="71" t="str">
        <f>Ficha!L27</f>
        <v>VOLUNTAD</v>
      </c>
      <c r="AB23" s="54" t="str">
        <f>Habilidades!A4</f>
        <v>Armas Largas</v>
      </c>
      <c r="AC23" s="71" t="str">
        <f>Ficha!C27</f>
        <v>Conocimientos Generales</v>
      </c>
      <c r="AD23" s="71" t="str">
        <f>Ficha!C29</f>
        <v>Idea</v>
      </c>
      <c r="AE23" s="54" t="str">
        <f>Habilidades!A11</f>
        <v>Computadora/Comunicaciones</v>
      </c>
      <c r="AF23" s="71" t="str">
        <f>Ficha!L24</f>
        <v>INTELIGENCIA</v>
      </c>
      <c r="AG23" s="71" t="str">
        <f>Ficha!C31</f>
        <v>Influencia</v>
      </c>
      <c r="AH23" s="54" t="str">
        <f>Habilidades!A20</f>
        <v>Otro Idioma (Especificar)</v>
      </c>
      <c r="AI23" s="71" t="str">
        <f>Ficha!L26</f>
        <v>APARIENCIA</v>
      </c>
      <c r="AJ23" s="54" t="str">
        <f>Habilidades!A5</f>
        <v>Armas Militares</v>
      </c>
      <c r="AK23" s="54" t="str">
        <f>Habilidades!A3</f>
        <v>Armas Cortas</v>
      </c>
    </row>
    <row r="24" spans="1:37" x14ac:dyDescent="0.2">
      <c r="E24" s="54" t="s">
        <v>559</v>
      </c>
      <c r="F24" s="54" t="s">
        <v>550</v>
      </c>
      <c r="G24" s="54" t="s">
        <v>551</v>
      </c>
      <c r="H24" s="54" t="s">
        <v>552</v>
      </c>
      <c r="L24" s="55" t="s">
        <v>593</v>
      </c>
      <c r="M24" s="54">
        <f>MAX(M25:M37)</f>
        <v>0</v>
      </c>
      <c r="N24" s="54">
        <f t="shared" ref="N24:S24" si="0">MAX(N25:N37)</f>
        <v>0</v>
      </c>
      <c r="O24" s="54">
        <f t="shared" si="0"/>
        <v>0</v>
      </c>
      <c r="P24" s="54">
        <f t="shared" si="0"/>
        <v>0</v>
      </c>
      <c r="Q24" s="54">
        <f t="shared" si="0"/>
        <v>0</v>
      </c>
      <c r="R24" s="54">
        <f t="shared" si="0"/>
        <v>0</v>
      </c>
      <c r="S24" s="54">
        <f t="shared" si="0"/>
        <v>0</v>
      </c>
      <c r="T24" s="54">
        <f t="shared" ref="T24" si="1">MAX(T25:T37)</f>
        <v>0</v>
      </c>
      <c r="U24" s="54">
        <f t="shared" ref="U24" si="2">MAX(U25:U37)</f>
        <v>0</v>
      </c>
      <c r="V24" s="54">
        <f t="shared" ref="V24" si="3">MAX(V25:V37)</f>
        <v>0</v>
      </c>
      <c r="W24" s="54">
        <f t="shared" ref="W24" si="4">MAX(W25:W37)</f>
        <v>0</v>
      </c>
      <c r="X24" s="54">
        <f t="shared" ref="X24" si="5">MAX(X25:X37)</f>
        <v>0</v>
      </c>
      <c r="Y24" s="54">
        <f t="shared" ref="Y24" si="6">MAX(Y25:Y37)</f>
        <v>0</v>
      </c>
      <c r="Z24" s="54">
        <f t="shared" ref="Z24" si="7">MAX(Z25:Z37)</f>
        <v>0</v>
      </c>
      <c r="AA24" s="54">
        <f t="shared" ref="AA24" si="8">MAX(AA25:AA37)</f>
        <v>0</v>
      </c>
      <c r="AB24" s="54">
        <f t="shared" ref="AB24" si="9">MAX(AB25:AB37)</f>
        <v>0</v>
      </c>
      <c r="AC24" s="54">
        <f t="shared" ref="AC24" si="10">MAX(AC25:AC37)</f>
        <v>0</v>
      </c>
      <c r="AD24" s="54">
        <f t="shared" ref="AD24" si="11">MAX(AD25:AD37)</f>
        <v>0</v>
      </c>
      <c r="AE24" s="54">
        <f t="shared" ref="AE24" si="12">MAX(AE25:AE37)</f>
        <v>0</v>
      </c>
      <c r="AF24" s="54">
        <f t="shared" ref="AF24" si="13">MAX(AF25:AF37)</f>
        <v>0</v>
      </c>
    </row>
    <row r="25" spans="1:37" x14ac:dyDescent="0.2">
      <c r="E25" s="54" t="s">
        <v>560</v>
      </c>
      <c r="F25" s="54" t="s">
        <v>550</v>
      </c>
      <c r="G25" s="54" t="s">
        <v>551</v>
      </c>
      <c r="H25" s="54" t="s">
        <v>552</v>
      </c>
      <c r="L25" s="54" t="s">
        <v>209</v>
      </c>
      <c r="M25" s="54">
        <f>IF(COUNTIF(Ficha!G4:J8,L25),20,0)</f>
        <v>0</v>
      </c>
      <c r="N25" s="54">
        <f>IF(COUNTIF(Ficha!G4:J8,L25),20,0)</f>
        <v>0</v>
      </c>
      <c r="O25" s="54">
        <f>IF(COUNTIF(Ficha!G4:J8,L25),30,0)</f>
        <v>0</v>
      </c>
      <c r="P25" s="54">
        <f>IF(COUNTIF(Ficha!G4:J8,L25),40,0)</f>
        <v>0</v>
      </c>
      <c r="Q25" s="54">
        <f>IF(COUNTIF(Ficha!G4:J8,L25),20,0)</f>
        <v>0</v>
      </c>
    </row>
    <row r="26" spans="1:37" x14ac:dyDescent="0.2">
      <c r="L26" s="54" t="s">
        <v>210</v>
      </c>
      <c r="O26" s="54">
        <f>IF(COUNTIF(Ficha!G4:J8,L26),20,0)</f>
        <v>0</v>
      </c>
      <c r="P26" s="54">
        <f>IF(COUNTIF(Ficha!G4:J8,L26),30,0)</f>
        <v>0</v>
      </c>
      <c r="Q26" s="54">
        <f>IF(COUNTIF(Ficha!G4:J8,L26),30,0)</f>
        <v>0</v>
      </c>
      <c r="R26" s="54">
        <f>IF(COUNTIF(Ficha!G4:J8,L26),20,0)</f>
        <v>0</v>
      </c>
      <c r="S26" s="54">
        <f>IF(COUNTIF(Ficha!G4:J8,L26),20,0)</f>
        <v>0</v>
      </c>
    </row>
    <row r="27" spans="1:37" x14ac:dyDescent="0.2">
      <c r="L27" s="54" t="s">
        <v>211</v>
      </c>
      <c r="P27" s="54">
        <f>IF(COUNTIF(Ficha!G4:J8,L27),30,0)</f>
        <v>0</v>
      </c>
      <c r="Q27" s="54">
        <f>IF(COUNTIF(Ficha!G4:J8,L27),30,0)</f>
        <v>0</v>
      </c>
      <c r="S27" s="54">
        <f>IF(COUNTIF(Ficha!G4:J8,L27),20,0)</f>
        <v>0</v>
      </c>
      <c r="T27" s="54">
        <f>IF(COUNTIF(Ficha!G4:J8,L27),20,0)</f>
        <v>0</v>
      </c>
      <c r="U27" s="54">
        <f>IF(COUNTIF(Ficha!G4:J8,L27),20,0)</f>
        <v>0</v>
      </c>
      <c r="V27" s="54">
        <f>IF(COUNTIF(Ficha!G4:J8,L27),20,0)</f>
        <v>0</v>
      </c>
    </row>
    <row r="28" spans="1:37" x14ac:dyDescent="0.2">
      <c r="L28" s="54" t="s">
        <v>212</v>
      </c>
      <c r="O28" s="54">
        <f>IF(COUNTIF(Ficha!G4:J8,L28),20,0)</f>
        <v>0</v>
      </c>
      <c r="P28" s="54">
        <f>IF(COUNTIF(Ficha!G4:J8,L28),30,0)</f>
        <v>0</v>
      </c>
      <c r="Q28" s="54">
        <f>IF(COUNTIF(Ficha!G4:J8,L28),30,0)</f>
        <v>0</v>
      </c>
      <c r="W28" s="54">
        <f>IF(COUNTIF(Ficha!G4:J8,L28),20,0)</f>
        <v>0</v>
      </c>
      <c r="X28" s="54">
        <f>IF(COUNTIF(Ficha!G4:J8,L28),20,0)</f>
        <v>0</v>
      </c>
    </row>
    <row r="29" spans="1:37" x14ac:dyDescent="0.2">
      <c r="L29" s="54" t="s">
        <v>567</v>
      </c>
      <c r="O29" s="54">
        <f>IF(COUNTIF(Ficha!G4:J8,L29),20,0)</f>
        <v>0</v>
      </c>
      <c r="P29" s="54">
        <f>IF(COUNTIF(Ficha!G4:J8,L29),30,0)</f>
        <v>0</v>
      </c>
      <c r="Q29" s="54">
        <f>IF(COUNTIF(Ficha!G4:J8,L29),30,0)</f>
        <v>0</v>
      </c>
      <c r="S29" s="54">
        <f>IF(COUNTIF(Ficha!G4:J8,L29),20,0)</f>
        <v>0</v>
      </c>
      <c r="Y29" s="54">
        <f>IF(COUNTIF(Ficha!G4:J8,L29),20,0)</f>
        <v>0</v>
      </c>
      <c r="Z29" s="54">
        <f>IF(COUNTIF(Ficha!G4:J8,L29),20,0)</f>
        <v>0</v>
      </c>
    </row>
    <row r="30" spans="1:37" x14ac:dyDescent="0.2">
      <c r="E30" s="327" t="s">
        <v>699</v>
      </c>
      <c r="F30" s="327"/>
      <c r="G30" s="327"/>
      <c r="H30" s="327"/>
      <c r="I30" s="327"/>
      <c r="J30" s="327"/>
      <c r="L30" s="54" t="s">
        <v>569</v>
      </c>
      <c r="O30" s="54">
        <f>IF(COUNTIF(Ficha!G4:J8,L30),20,0)</f>
        <v>0</v>
      </c>
      <c r="P30" s="54">
        <f>IF(COUNTIF(Ficha!G4:J8,L30),30,0)</f>
        <v>0</v>
      </c>
      <c r="Q30" s="54">
        <f>IF(COUNTIF(Ficha!G4:J8,L30),30,0)</f>
        <v>0</v>
      </c>
      <c r="AA30" s="54">
        <f>IF(COUNTIF(Ficha!G4:J8,L30),10,0)</f>
        <v>0</v>
      </c>
    </row>
    <row r="31" spans="1:37" x14ac:dyDescent="0.2">
      <c r="A31" s="54" t="s">
        <v>690</v>
      </c>
      <c r="E31" s="54" t="s">
        <v>706</v>
      </c>
      <c r="F31" s="54" t="s">
        <v>522</v>
      </c>
      <c r="L31" s="54" t="s">
        <v>213</v>
      </c>
      <c r="P31" s="54">
        <f>IF(COUNTIF(Ficha!G4:J8,L31),20,0)</f>
        <v>0</v>
      </c>
      <c r="Q31" s="54">
        <f>IF(COUNTIF(Ficha!G4:J8,L31),40,0)</f>
        <v>0</v>
      </c>
      <c r="S31" s="54">
        <f>IF(COUNTIF(Ficha!G4:J8,L31),20,0)</f>
        <v>0</v>
      </c>
      <c r="Y31" s="54">
        <f>IF(COUNTIF(Ficha!G4:J8,L31),20,0)</f>
        <v>0</v>
      </c>
      <c r="AB31" s="54">
        <f>IF(COUNTIF(Ficha!G4:J8,L31),20,0)</f>
        <v>0</v>
      </c>
    </row>
    <row r="32" spans="1:37" x14ac:dyDescent="0.2">
      <c r="A32" s="54" t="s">
        <v>696</v>
      </c>
      <c r="B32" s="54" t="s">
        <v>522</v>
      </c>
      <c r="E32" s="54" t="s">
        <v>700</v>
      </c>
      <c r="F32" s="54">
        <v>1</v>
      </c>
      <c r="L32" s="54" t="s">
        <v>299</v>
      </c>
      <c r="S32" s="54">
        <f>IF(COUNTIF(Ficha!G4:J8,L32),20,0)</f>
        <v>0</v>
      </c>
      <c r="U32" s="54">
        <f>IF(COUNTIF(Ficha!G4:J8,L32),20,0)</f>
        <v>0</v>
      </c>
      <c r="AC32" s="54">
        <f>IF(COUNTIF(Ficha!G4:J8,L32),20,0)</f>
        <v>0</v>
      </c>
      <c r="AD32" s="54">
        <f>IF(COUNTIF(Ficha!G4:J8,L32),20,0)</f>
        <v>0</v>
      </c>
      <c r="AE32" s="54">
        <f>IF(COUNTIF(Ficha!G4:J8,L32),20,0)</f>
        <v>0</v>
      </c>
      <c r="AF32" s="54">
        <f>IF(COUNTIF(Ficha!G4:J8,L32),50,0)</f>
        <v>0</v>
      </c>
    </row>
    <row r="33" spans="1:37" x14ac:dyDescent="0.2">
      <c r="A33" s="54" t="s">
        <v>691</v>
      </c>
      <c r="B33" s="54">
        <v>8</v>
      </c>
      <c r="E33" s="54" t="s">
        <v>701</v>
      </c>
      <c r="F33" s="54">
        <v>2</v>
      </c>
      <c r="L33" s="54" t="s">
        <v>214</v>
      </c>
      <c r="AD33" s="54">
        <f>IF(COUNTIF(Ficha!G4:J8,L33),20,0)</f>
        <v>0</v>
      </c>
      <c r="AF33" s="54">
        <f>IF(COUNTIF(Ficha!G4:J8,L33),30,0)</f>
        <v>0</v>
      </c>
      <c r="AG33" s="54">
        <f>IF(COUNTIF(Ficha!G4:J8,L33),20,0)</f>
        <v>0</v>
      </c>
      <c r="AH33" s="54">
        <f>IF(COUNTIF(Ficha!G4:J8,L33),20,0)</f>
        <v>0</v>
      </c>
      <c r="AI33" s="54">
        <f>IF(COUNTIF(Ficha!G4:J8,L33),30,0)</f>
        <v>0</v>
      </c>
    </row>
    <row r="34" spans="1:37" x14ac:dyDescent="0.2">
      <c r="A34" s="54" t="s">
        <v>692</v>
      </c>
      <c r="B34" s="54">
        <v>6</v>
      </c>
      <c r="E34" s="54" t="s">
        <v>702</v>
      </c>
      <c r="F34" s="54">
        <v>4</v>
      </c>
      <c r="L34" s="54" t="s">
        <v>215</v>
      </c>
      <c r="O34" s="54">
        <f>IF(COUNTIF(Ficha!G4:J8,L34),20,0)</f>
        <v>0</v>
      </c>
      <c r="P34" s="54">
        <f>IF(COUNTIF(Ficha!G4:J8,L34),30,0)</f>
        <v>0</v>
      </c>
      <c r="Q34" s="54">
        <f>IF(COUNTIF(Ficha!G4:J8,L34),30,0)</f>
        <v>0</v>
      </c>
      <c r="X34" s="54">
        <f>IF(COUNTIF(Ficha!G4:J8,L34),20,0)</f>
        <v>0</v>
      </c>
      <c r="AJ34" s="54">
        <f>IF(COUNTIF(Ficha!G4:J8,L34),20,0)</f>
        <v>0</v>
      </c>
    </row>
    <row r="35" spans="1:37" x14ac:dyDescent="0.2">
      <c r="A35" s="54" t="s">
        <v>693</v>
      </c>
      <c r="B35" s="54">
        <v>4</v>
      </c>
      <c r="E35" s="54" t="s">
        <v>703</v>
      </c>
      <c r="F35" s="54">
        <v>6</v>
      </c>
      <c r="H35" s="54" t="s">
        <v>726</v>
      </c>
      <c r="I35" s="54" t="s">
        <v>708</v>
      </c>
      <c r="J35" s="54" t="s">
        <v>728</v>
      </c>
      <c r="L35" s="54" t="s">
        <v>216</v>
      </c>
      <c r="O35" s="54">
        <f>IF(COUNTIF(Ficha!G4:J8,L35),20,0)</f>
        <v>0</v>
      </c>
      <c r="P35" s="54">
        <f>IF(COUNTIF(Ficha!G4:J8,L35),20,0)</f>
        <v>0</v>
      </c>
      <c r="Q35" s="54">
        <f>IF(COUNTIF(Ficha!G4:J8,L35),40,0)</f>
        <v>0</v>
      </c>
      <c r="AB35" s="54">
        <f>IF(COUNTIF(Ficha!G4:J8,L35),20,0)</f>
        <v>0</v>
      </c>
      <c r="AK35" s="54">
        <f>IF(COUNTIF(Ficha!G4:J8,L35),20,0)</f>
        <v>0</v>
      </c>
    </row>
    <row r="36" spans="1:37" x14ac:dyDescent="0.2">
      <c r="A36" s="54" t="s">
        <v>694</v>
      </c>
      <c r="B36" s="54">
        <v>2</v>
      </c>
      <c r="E36" s="54" t="s">
        <v>704</v>
      </c>
      <c r="F36" s="54">
        <v>8</v>
      </c>
      <c r="H36" s="54">
        <v>2</v>
      </c>
      <c r="I36" s="54">
        <v>50</v>
      </c>
      <c r="J36" s="54">
        <v>1</v>
      </c>
      <c r="L36" s="54" t="s">
        <v>300</v>
      </c>
      <c r="N36" s="54">
        <f>IF(COUNTIF(Ficha!G4:J8,L36),20,0)</f>
        <v>0</v>
      </c>
      <c r="O36" s="54">
        <f>IF(COUNTIF(Ficha!G4:J8,L36),30,0)</f>
        <v>0</v>
      </c>
      <c r="P36" s="54">
        <f>IF(COUNTIF(Ficha!G4:J8,L36),50,0)</f>
        <v>0</v>
      </c>
      <c r="Q36" s="54">
        <f>IF(COUNTIF(Ficha!G4:J8,L36),50,0)</f>
        <v>0</v>
      </c>
      <c r="S36" s="54">
        <f>IF(COUNTIF(Ficha!G4:J8,L36),20,0)</f>
        <v>0</v>
      </c>
    </row>
    <row r="37" spans="1:37" x14ac:dyDescent="0.2">
      <c r="A37" s="54" t="s">
        <v>695</v>
      </c>
      <c r="B37" s="54">
        <v>0</v>
      </c>
      <c r="E37" s="54" t="s">
        <v>705</v>
      </c>
      <c r="F37" s="54">
        <v>10</v>
      </c>
      <c r="H37" s="54">
        <v>5</v>
      </c>
      <c r="I37" s="54">
        <v>60</v>
      </c>
      <c r="J37" s="54">
        <v>2</v>
      </c>
      <c r="L37" s="54" t="s">
        <v>301</v>
      </c>
      <c r="N37" s="54">
        <f>IF(COUNTIF(Ficha!G4:J8,L37),20,0)</f>
        <v>0</v>
      </c>
      <c r="O37" s="54">
        <f>IF(COUNTIF(Ficha!G4:J8,L37),30,0)</f>
        <v>0</v>
      </c>
      <c r="P37" s="54">
        <f>IF(COUNTIF(Ficha!G4:J8,L37),50,0)</f>
        <v>0</v>
      </c>
      <c r="Q37" s="54">
        <f>IF(COUNTIF(Ficha!G4:J8,L37),50,0)</f>
        <v>0</v>
      </c>
      <c r="S37" s="54">
        <f>IF(COUNTIF(Ficha!G4:J8,L37),20,0)</f>
        <v>0</v>
      </c>
    </row>
    <row r="38" spans="1:37" x14ac:dyDescent="0.2">
      <c r="H38" s="54">
        <v>8</v>
      </c>
      <c r="I38" s="54">
        <v>75</v>
      </c>
      <c r="J38" s="54">
        <v>3</v>
      </c>
    </row>
    <row r="39" spans="1:37" x14ac:dyDescent="0.2">
      <c r="E39" s="54" t="s">
        <v>698</v>
      </c>
      <c r="F39" s="54" t="s">
        <v>522</v>
      </c>
      <c r="H39" s="54">
        <v>10</v>
      </c>
      <c r="I39" s="54">
        <v>105</v>
      </c>
      <c r="J39" s="54">
        <v>4</v>
      </c>
    </row>
    <row r="40" spans="1:37" x14ac:dyDescent="0.2">
      <c r="E40" s="54">
        <v>100</v>
      </c>
      <c r="F40" s="54">
        <v>0</v>
      </c>
      <c r="H40" s="54">
        <v>15</v>
      </c>
      <c r="I40" s="54">
        <v>135</v>
      </c>
      <c r="J40" s="54">
        <v>5</v>
      </c>
      <c r="N40" s="54" t="s">
        <v>127</v>
      </c>
      <c r="O40" s="54" t="s">
        <v>156</v>
      </c>
      <c r="P40" s="54" t="s">
        <v>157</v>
      </c>
      <c r="Q40" s="54" t="s">
        <v>158</v>
      </c>
    </row>
    <row r="41" spans="1:37" x14ac:dyDescent="0.2">
      <c r="E41" s="54">
        <v>110</v>
      </c>
      <c r="F41" s="54">
        <v>1</v>
      </c>
      <c r="H41" s="54">
        <v>20</v>
      </c>
      <c r="I41" s="54">
        <v>150</v>
      </c>
      <c r="J41" s="54">
        <v>6</v>
      </c>
      <c r="L41" s="55" t="s">
        <v>671</v>
      </c>
      <c r="N41" s="54">
        <f>MIN(N42:N43)</f>
        <v>-10</v>
      </c>
    </row>
    <row r="42" spans="1:37" x14ac:dyDescent="0.2">
      <c r="E42" s="54">
        <v>120</v>
      </c>
      <c r="F42" s="54">
        <v>2</v>
      </c>
      <c r="H42" s="54" t="s">
        <v>727</v>
      </c>
      <c r="I42" s="54" t="s">
        <v>522</v>
      </c>
      <c r="L42" s="54" t="s">
        <v>181</v>
      </c>
      <c r="N42" s="54">
        <v>-10</v>
      </c>
      <c r="O42" s="54">
        <v>-25</v>
      </c>
      <c r="P42" s="54">
        <v>-25</v>
      </c>
      <c r="Q42" s="54">
        <v>-25</v>
      </c>
    </row>
    <row r="43" spans="1:37" x14ac:dyDescent="0.2">
      <c r="E43" s="54">
        <v>130</v>
      </c>
      <c r="F43" s="54">
        <v>3</v>
      </c>
      <c r="H43" s="54">
        <v>100</v>
      </c>
      <c r="I43" s="54">
        <v>0</v>
      </c>
      <c r="L43" s="54" t="s">
        <v>303</v>
      </c>
      <c r="N43" s="54">
        <v>-10</v>
      </c>
      <c r="O43" s="54">
        <v>-25</v>
      </c>
      <c r="P43" s="54">
        <v>-25</v>
      </c>
      <c r="Q43" s="54">
        <v>-25</v>
      </c>
    </row>
    <row r="44" spans="1:37" x14ac:dyDescent="0.2">
      <c r="E44" s="54">
        <v>140</v>
      </c>
      <c r="F44" s="54">
        <v>4</v>
      </c>
      <c r="H44" s="54">
        <v>110</v>
      </c>
      <c r="I44" s="54">
        <v>1</v>
      </c>
    </row>
    <row r="45" spans="1:37" x14ac:dyDescent="0.2">
      <c r="E45" s="54">
        <v>150</v>
      </c>
      <c r="F45" s="54">
        <v>5</v>
      </c>
      <c r="H45" s="54">
        <v>130</v>
      </c>
      <c r="I45" s="54">
        <v>2</v>
      </c>
    </row>
    <row r="46" spans="1:37" x14ac:dyDescent="0.2">
      <c r="E46" s="54">
        <v>160</v>
      </c>
      <c r="F46" s="54">
        <v>6</v>
      </c>
      <c r="H46" s="54">
        <v>150</v>
      </c>
      <c r="I46" s="54">
        <v>3</v>
      </c>
    </row>
    <row r="47" spans="1:37" x14ac:dyDescent="0.2">
      <c r="E47" s="54">
        <v>170</v>
      </c>
      <c r="F47" s="54">
        <v>7</v>
      </c>
      <c r="H47" s="54">
        <v>170</v>
      </c>
      <c r="I47" s="54">
        <v>4</v>
      </c>
    </row>
    <row r="48" spans="1:37" x14ac:dyDescent="0.2">
      <c r="E48" s="54">
        <v>180</v>
      </c>
      <c r="F48" s="54">
        <v>8</v>
      </c>
      <c r="H48" s="54">
        <v>190</v>
      </c>
      <c r="I48" s="54">
        <v>5</v>
      </c>
    </row>
    <row r="49" spans="5:11" x14ac:dyDescent="0.2">
      <c r="E49" s="54">
        <v>190</v>
      </c>
      <c r="F49" s="54">
        <v>9</v>
      </c>
    </row>
    <row r="50" spans="5:11" x14ac:dyDescent="0.2">
      <c r="E50" s="54" t="s">
        <v>723</v>
      </c>
      <c r="F50" s="54">
        <v>10</v>
      </c>
    </row>
    <row r="52" spans="5:11" x14ac:dyDescent="0.2">
      <c r="E52" s="54" t="s">
        <v>296</v>
      </c>
      <c r="F52" s="54" t="s">
        <v>712</v>
      </c>
      <c r="G52" s="54" t="s">
        <v>713</v>
      </c>
      <c r="H52" s="54" t="s">
        <v>711</v>
      </c>
      <c r="I52" s="54" t="s">
        <v>709</v>
      </c>
      <c r="J52" s="54" t="s">
        <v>714</v>
      </c>
      <c r="K52" s="54" t="s">
        <v>710</v>
      </c>
    </row>
    <row r="53" spans="5:11" x14ac:dyDescent="0.2">
      <c r="E53" s="54">
        <v>105</v>
      </c>
      <c r="F53" s="54">
        <v>100</v>
      </c>
      <c r="G53" s="54" t="s">
        <v>715</v>
      </c>
      <c r="H53" s="54">
        <v>5</v>
      </c>
      <c r="I53" s="54" t="s">
        <v>721</v>
      </c>
      <c r="J53" s="54" t="s">
        <v>722</v>
      </c>
      <c r="K53" s="54">
        <v>20</v>
      </c>
    </row>
    <row r="54" spans="5:11" x14ac:dyDescent="0.2">
      <c r="E54" s="54">
        <v>110</v>
      </c>
      <c r="F54" s="54">
        <v>120</v>
      </c>
      <c r="G54" s="54" t="s">
        <v>716</v>
      </c>
      <c r="H54" s="54">
        <v>10</v>
      </c>
      <c r="I54" s="54" t="s">
        <v>18</v>
      </c>
      <c r="J54" s="54" t="s">
        <v>722</v>
      </c>
      <c r="K54" s="54">
        <v>30</v>
      </c>
    </row>
    <row r="55" spans="5:11" x14ac:dyDescent="0.2">
      <c r="E55" s="54">
        <v>120</v>
      </c>
      <c r="F55" s="54">
        <v>140</v>
      </c>
      <c r="G55" s="54" t="s">
        <v>717</v>
      </c>
      <c r="H55" s="54">
        <v>15</v>
      </c>
      <c r="I55" s="54" t="s">
        <v>38</v>
      </c>
      <c r="J55" s="54">
        <v>1</v>
      </c>
      <c r="K55" s="54">
        <v>40</v>
      </c>
    </row>
    <row r="56" spans="5:11" x14ac:dyDescent="0.2">
      <c r="E56" s="54">
        <v>130</v>
      </c>
      <c r="F56" s="54">
        <v>160</v>
      </c>
      <c r="G56" s="54" t="s">
        <v>718</v>
      </c>
      <c r="H56" s="54">
        <v>20</v>
      </c>
      <c r="I56" s="54" t="s">
        <v>58</v>
      </c>
      <c r="J56" s="54">
        <v>2</v>
      </c>
      <c r="K56" s="54">
        <v>50</v>
      </c>
    </row>
    <row r="57" spans="5:11" x14ac:dyDescent="0.2">
      <c r="E57" s="54">
        <v>140</v>
      </c>
      <c r="F57" s="54">
        <v>180</v>
      </c>
      <c r="G57" s="54" t="s">
        <v>719</v>
      </c>
      <c r="H57" s="54">
        <v>25</v>
      </c>
      <c r="I57" s="54" t="s">
        <v>78</v>
      </c>
      <c r="J57" s="54">
        <v>2</v>
      </c>
      <c r="K57" s="54">
        <v>60</v>
      </c>
    </row>
    <row r="58" spans="5:11" x14ac:dyDescent="0.2">
      <c r="E58" s="54">
        <v>150</v>
      </c>
      <c r="F58" s="54">
        <v>200</v>
      </c>
      <c r="G58" s="54" t="s">
        <v>720</v>
      </c>
      <c r="H58" s="54">
        <v>30</v>
      </c>
      <c r="I58" s="54" t="s">
        <v>98</v>
      </c>
      <c r="J58" s="54">
        <v>2</v>
      </c>
      <c r="K58" s="54">
        <v>70</v>
      </c>
    </row>
  </sheetData>
  <mergeCells count="2">
    <mergeCell ref="M1:R1"/>
    <mergeCell ref="E30:J30"/>
  </mergeCells>
  <phoneticPr fontId="9" type="noConversion"/>
  <conditionalFormatting sqref="A6:K6 AL6:XFD6 L23:AK23">
    <cfRule type="duplicateValues" dxfId="0" priority="1"/>
  </conditionalFormatting>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ECF36F-D3C1-41FB-9D8D-C20C10F9BDB2}">
  <dimension ref="A1:BL70"/>
  <sheetViews>
    <sheetView topLeftCell="A10" workbookViewId="0">
      <selection activeCell="J45" sqref="J45"/>
    </sheetView>
  </sheetViews>
  <sheetFormatPr baseColWidth="10" defaultRowHeight="12" x14ac:dyDescent="0.2"/>
  <cols>
    <col min="1" max="1" width="23.5703125" style="27" bestFit="1" customWidth="1"/>
    <col min="2" max="2" width="5.140625" style="28" bestFit="1" customWidth="1"/>
    <col min="3" max="3" width="5" style="27" customWidth="1"/>
    <col min="4" max="4" width="7.42578125" style="27" bestFit="1" customWidth="1"/>
    <col min="5" max="6" width="7.42578125" style="27" customWidth="1"/>
    <col min="7" max="7" width="3.85546875" style="27" customWidth="1"/>
    <col min="8" max="8" width="23.42578125" style="27" bestFit="1" customWidth="1"/>
    <col min="9" max="9" width="17.5703125" style="27" bestFit="1" customWidth="1"/>
    <col min="10" max="10" width="15" style="27" bestFit="1" customWidth="1"/>
    <col min="11" max="11" width="18.28515625" style="27" bestFit="1" customWidth="1"/>
    <col min="12" max="12" width="21.85546875" style="27" bestFit="1" customWidth="1"/>
    <col min="13" max="13" width="15.7109375" style="27" bestFit="1" customWidth="1"/>
    <col min="14" max="14" width="20" style="27" bestFit="1" customWidth="1"/>
    <col min="15" max="15" width="14.85546875" style="27" bestFit="1" customWidth="1"/>
    <col min="16" max="16" width="14.5703125" style="27" bestFit="1" customWidth="1"/>
    <col min="17" max="17" width="14.28515625" style="27" bestFit="1" customWidth="1"/>
    <col min="18" max="18" width="14.42578125" style="27" bestFit="1" customWidth="1"/>
    <col min="19" max="19" width="20" style="27" bestFit="1" customWidth="1"/>
    <col min="20" max="20" width="21.85546875" style="27" bestFit="1" customWidth="1"/>
    <col min="21" max="21" width="26.5703125" style="27" bestFit="1" customWidth="1"/>
    <col min="22" max="22" width="15.28515625" style="27" bestFit="1" customWidth="1"/>
    <col min="23" max="23" width="16.5703125" style="27" bestFit="1" customWidth="1"/>
    <col min="24" max="24" width="16.140625" style="27" bestFit="1" customWidth="1"/>
    <col min="25" max="25" width="14" style="27" bestFit="1" customWidth="1"/>
    <col min="26" max="26" width="16.140625" style="27" bestFit="1" customWidth="1"/>
    <col min="27" max="27" width="18.7109375" style="27" bestFit="1" customWidth="1"/>
    <col min="28" max="28" width="14.140625" style="27" bestFit="1" customWidth="1"/>
    <col min="29" max="29" width="11" style="27" bestFit="1" customWidth="1"/>
    <col min="30" max="30" width="14.140625" style="27" bestFit="1" customWidth="1"/>
    <col min="31" max="31" width="12.28515625" style="27" bestFit="1" customWidth="1"/>
    <col min="32" max="32" width="12" style="27" bestFit="1" customWidth="1"/>
    <col min="33" max="33" width="15" style="27" bestFit="1" customWidth="1"/>
    <col min="34" max="34" width="10.28515625" style="27" bestFit="1" customWidth="1"/>
    <col min="35" max="35" width="14" style="27" bestFit="1" customWidth="1"/>
    <col min="36" max="36" width="13" style="27" bestFit="1" customWidth="1"/>
    <col min="37" max="37" width="8.42578125" style="27" bestFit="1" customWidth="1"/>
    <col min="38" max="38" width="11.85546875" style="27" bestFit="1" customWidth="1"/>
    <col min="39" max="39" width="11.28515625" style="27" bestFit="1" customWidth="1"/>
    <col min="40" max="40" width="18.7109375" style="27" bestFit="1" customWidth="1"/>
    <col min="41" max="41" width="5.140625" style="27" bestFit="1" customWidth="1"/>
    <col min="42" max="16384" width="11.42578125" style="27"/>
  </cols>
  <sheetData>
    <row r="1" spans="1:41" x14ac:dyDescent="0.2">
      <c r="A1" s="27" t="s">
        <v>229</v>
      </c>
      <c r="B1" s="27" t="s">
        <v>230</v>
      </c>
      <c r="D1" s="27" t="s">
        <v>231</v>
      </c>
      <c r="E1" s="27" t="s">
        <v>230</v>
      </c>
      <c r="F1" s="27" t="s">
        <v>522</v>
      </c>
    </row>
    <row r="2" spans="1:41" x14ac:dyDescent="0.2">
      <c r="A2" s="27" t="s">
        <v>232</v>
      </c>
      <c r="B2" s="68" t="s">
        <v>151</v>
      </c>
      <c r="D2" s="27" t="s">
        <v>233</v>
      </c>
      <c r="E2" s="27">
        <v>11</v>
      </c>
      <c r="F2" s="27">
        <v>1</v>
      </c>
      <c r="H2" s="27" t="s">
        <v>179</v>
      </c>
      <c r="I2" s="27" t="s">
        <v>302</v>
      </c>
    </row>
    <row r="3" spans="1:41" x14ac:dyDescent="0.2">
      <c r="A3" s="27" t="s">
        <v>237</v>
      </c>
      <c r="B3" s="28">
        <f>Ficha!N22/2</f>
        <v>0</v>
      </c>
      <c r="D3" s="27" t="s">
        <v>238</v>
      </c>
      <c r="E3" s="27">
        <v>21</v>
      </c>
      <c r="F3" s="27">
        <v>2</v>
      </c>
      <c r="H3" s="27" t="s">
        <v>181</v>
      </c>
      <c r="I3" s="27" t="s">
        <v>234</v>
      </c>
      <c r="J3" s="27" t="s">
        <v>239</v>
      </c>
      <c r="K3" s="27" t="s">
        <v>245</v>
      </c>
      <c r="L3" s="27" t="s">
        <v>250</v>
      </c>
      <c r="M3" s="27" t="s">
        <v>248</v>
      </c>
      <c r="N3" s="27" t="s">
        <v>257</v>
      </c>
      <c r="O3" s="27" t="s">
        <v>243</v>
      </c>
      <c r="P3" s="27" t="s">
        <v>263</v>
      </c>
      <c r="Q3" s="27" t="s">
        <v>268</v>
      </c>
      <c r="R3" s="27" t="s">
        <v>271</v>
      </c>
      <c r="S3" s="27" t="s">
        <v>274</v>
      </c>
      <c r="T3" s="27" t="s">
        <v>275</v>
      </c>
      <c r="U3" s="27" t="s">
        <v>270</v>
      </c>
      <c r="V3" s="27" t="s">
        <v>278</v>
      </c>
      <c r="W3" s="27" t="s">
        <v>282</v>
      </c>
      <c r="X3" s="27" t="s">
        <v>283</v>
      </c>
      <c r="Y3" s="27" t="s">
        <v>281</v>
      </c>
      <c r="Z3" s="27" t="s">
        <v>287</v>
      </c>
    </row>
    <row r="4" spans="1:41" x14ac:dyDescent="0.2">
      <c r="A4" s="27" t="s">
        <v>243</v>
      </c>
      <c r="B4" s="28">
        <f>(Ficha!N25+Ficha!N22)/2</f>
        <v>0</v>
      </c>
      <c r="D4" s="27" t="s">
        <v>244</v>
      </c>
      <c r="E4" s="27">
        <v>41</v>
      </c>
      <c r="F4" s="27">
        <v>4</v>
      </c>
      <c r="H4" s="27" t="s">
        <v>303</v>
      </c>
      <c r="I4" s="27" t="s">
        <v>234</v>
      </c>
      <c r="J4" s="27" t="s">
        <v>239</v>
      </c>
      <c r="K4" s="27" t="s">
        <v>245</v>
      </c>
      <c r="L4" s="27" t="s">
        <v>250</v>
      </c>
      <c r="M4" s="27" t="s">
        <v>248</v>
      </c>
      <c r="N4" s="27" t="s">
        <v>257</v>
      </c>
      <c r="O4" s="27" t="s">
        <v>243</v>
      </c>
      <c r="P4" s="27" t="s">
        <v>263</v>
      </c>
      <c r="Q4" s="27" t="s">
        <v>268</v>
      </c>
      <c r="R4" s="27" t="s">
        <v>271</v>
      </c>
      <c r="S4" s="27" t="s">
        <v>274</v>
      </c>
      <c r="T4" s="27" t="s">
        <v>275</v>
      </c>
      <c r="U4" s="27" t="s">
        <v>270</v>
      </c>
      <c r="V4" s="27" t="s">
        <v>278</v>
      </c>
      <c r="W4" s="27" t="s">
        <v>282</v>
      </c>
      <c r="X4" s="27" t="s">
        <v>283</v>
      </c>
      <c r="Y4" s="27" t="s">
        <v>281</v>
      </c>
      <c r="Z4" s="27" t="s">
        <v>287</v>
      </c>
    </row>
    <row r="5" spans="1:41" x14ac:dyDescent="0.2">
      <c r="A5" s="27" t="s">
        <v>236</v>
      </c>
      <c r="B5" s="28">
        <f>(Ficha!N27+Ficha!N24)/2</f>
        <v>0</v>
      </c>
      <c r="D5" s="27" t="s">
        <v>249</v>
      </c>
      <c r="E5" s="27">
        <v>81</v>
      </c>
      <c r="F5" s="27">
        <v>8</v>
      </c>
      <c r="H5" s="27" t="s">
        <v>182</v>
      </c>
      <c r="I5" s="27" t="s">
        <v>234</v>
      </c>
      <c r="J5" s="27" t="s">
        <v>239</v>
      </c>
      <c r="K5" s="27" t="s">
        <v>245</v>
      </c>
      <c r="L5" s="27" t="s">
        <v>250</v>
      </c>
      <c r="M5" s="27" t="s">
        <v>248</v>
      </c>
      <c r="N5" s="27" t="s">
        <v>257</v>
      </c>
      <c r="O5" s="27" t="s">
        <v>243</v>
      </c>
      <c r="P5" s="27" t="s">
        <v>263</v>
      </c>
      <c r="Q5" s="27" t="s">
        <v>268</v>
      </c>
      <c r="R5" s="27" t="s">
        <v>271</v>
      </c>
      <c r="S5" s="27" t="s">
        <v>274</v>
      </c>
      <c r="T5" s="27" t="s">
        <v>275</v>
      </c>
      <c r="U5" s="27" t="s">
        <v>270</v>
      </c>
      <c r="V5" s="27" t="s">
        <v>278</v>
      </c>
      <c r="W5" s="27" t="s">
        <v>282</v>
      </c>
      <c r="X5" s="27" t="s">
        <v>283</v>
      </c>
      <c r="Y5" s="27" t="s">
        <v>281</v>
      </c>
      <c r="Z5" s="27" t="s">
        <v>287</v>
      </c>
    </row>
    <row r="6" spans="1:41" x14ac:dyDescent="0.2">
      <c r="A6" s="27" t="s">
        <v>246</v>
      </c>
      <c r="B6" s="28">
        <f>Ficha!N22/2</f>
        <v>0</v>
      </c>
      <c r="D6" s="27" t="s">
        <v>183</v>
      </c>
      <c r="E6" s="27">
        <v>100</v>
      </c>
      <c r="F6" s="27">
        <v>10</v>
      </c>
      <c r="H6" s="27" t="s">
        <v>191</v>
      </c>
      <c r="I6" s="27" t="s">
        <v>234</v>
      </c>
      <c r="J6" s="27" t="s">
        <v>239</v>
      </c>
      <c r="K6" s="27" t="s">
        <v>245</v>
      </c>
      <c r="L6" s="27" t="s">
        <v>250</v>
      </c>
      <c r="M6" s="27" t="s">
        <v>248</v>
      </c>
      <c r="N6" s="27" t="s">
        <v>257</v>
      </c>
      <c r="O6" s="27" t="s">
        <v>243</v>
      </c>
      <c r="P6" s="27" t="s">
        <v>263</v>
      </c>
      <c r="Q6" s="27" t="s">
        <v>268</v>
      </c>
      <c r="R6" s="27" t="s">
        <v>271</v>
      </c>
      <c r="S6" s="27" t="s">
        <v>274</v>
      </c>
      <c r="T6" s="27" t="s">
        <v>276</v>
      </c>
      <c r="U6" s="27" t="s">
        <v>280</v>
      </c>
      <c r="V6" s="27" t="s">
        <v>275</v>
      </c>
      <c r="W6" s="27" t="s">
        <v>270</v>
      </c>
      <c r="X6" s="27" t="s">
        <v>278</v>
      </c>
      <c r="Y6" s="27" t="s">
        <v>282</v>
      </c>
      <c r="Z6" s="27" t="s">
        <v>283</v>
      </c>
      <c r="AA6" s="27" t="s">
        <v>279</v>
      </c>
      <c r="AB6" s="27" t="s">
        <v>287</v>
      </c>
    </row>
    <row r="7" spans="1:41" x14ac:dyDescent="0.2">
      <c r="A7" s="27" t="s">
        <v>235</v>
      </c>
      <c r="B7" s="68" t="s">
        <v>151</v>
      </c>
      <c r="H7" s="27" t="s">
        <v>192</v>
      </c>
      <c r="I7" s="27" t="s">
        <v>234</v>
      </c>
      <c r="J7" s="27" t="s">
        <v>239</v>
      </c>
      <c r="K7" s="27" t="s">
        <v>245</v>
      </c>
      <c r="L7" s="27" t="s">
        <v>250</v>
      </c>
      <c r="M7" s="27" t="s">
        <v>248</v>
      </c>
      <c r="N7" s="27" t="s">
        <v>257</v>
      </c>
      <c r="O7" s="27" t="s">
        <v>243</v>
      </c>
      <c r="P7" s="27" t="s">
        <v>263</v>
      </c>
      <c r="Q7" s="27" t="s">
        <v>268</v>
      </c>
      <c r="R7" s="27" t="s">
        <v>271</v>
      </c>
      <c r="S7" s="27" t="s">
        <v>274</v>
      </c>
      <c r="T7" s="27" t="s">
        <v>276</v>
      </c>
      <c r="U7" s="27" t="s">
        <v>280</v>
      </c>
      <c r="V7" s="27" t="s">
        <v>275</v>
      </c>
      <c r="W7" s="27" t="s">
        <v>270</v>
      </c>
      <c r="X7" s="27" t="s">
        <v>278</v>
      </c>
      <c r="Y7" s="27" t="s">
        <v>282</v>
      </c>
      <c r="Z7" s="27" t="s">
        <v>283</v>
      </c>
      <c r="AA7" s="27" t="s">
        <v>279</v>
      </c>
      <c r="AB7" s="27" t="s">
        <v>287</v>
      </c>
    </row>
    <row r="8" spans="1:41" x14ac:dyDescent="0.2">
      <c r="A8" s="27" t="s">
        <v>240</v>
      </c>
      <c r="B8" s="68" t="s">
        <v>151</v>
      </c>
      <c r="D8" s="329" t="s">
        <v>685</v>
      </c>
      <c r="E8" s="329"/>
      <c r="F8" s="72">
        <f>IFERROR(VLOOKUP(Ficha!AD4,Poderes!D2:F6,3,FALSE),0)+IFERROR(VLOOKUP(Ficha!AD5,Poderes!D2:F6,3,FALSE),0)+IFERROR(VLOOKUP(Ficha!AD6,Poderes!D2:F6,3,FALSE),0)+IFERROR(VLOOKUP(Ficha!AD7,Poderes!D2:F6,3,FALSE),0)+IFERROR(VLOOKUP(Ficha!AD8,Poderes!D2:F6,3,FALSE),0)+IFERROR(VLOOKUP(Ficha!AD9,Poderes!D2:F6,3,FALSE),0)+IFERROR(VLOOKUP(Ficha!AD10,Poderes!D2:F6,3,FALSE),0)+IFERROR(VLOOKUP(Ficha!AD11,Poderes!D2:F6,3,FALSE),0)</f>
        <v>0</v>
      </c>
      <c r="H8" s="27" t="s">
        <v>553</v>
      </c>
      <c r="I8" s="27" t="s">
        <v>232</v>
      </c>
      <c r="J8" s="27" t="s">
        <v>236</v>
      </c>
      <c r="K8" s="27" t="s">
        <v>246</v>
      </c>
      <c r="L8" s="27" t="s">
        <v>251</v>
      </c>
      <c r="M8" s="27" t="s">
        <v>252</v>
      </c>
      <c r="N8" s="27" t="s">
        <v>242</v>
      </c>
      <c r="O8" s="27" t="s">
        <v>245</v>
      </c>
      <c r="P8" s="27" t="s">
        <v>239</v>
      </c>
      <c r="Q8" s="27" t="s">
        <v>268</v>
      </c>
      <c r="R8" s="27" t="s">
        <v>234</v>
      </c>
      <c r="S8" s="27" t="s">
        <v>257</v>
      </c>
      <c r="T8" s="27" t="s">
        <v>250</v>
      </c>
      <c r="U8" s="27" t="s">
        <v>277</v>
      </c>
      <c r="V8" s="27" t="s">
        <v>264</v>
      </c>
      <c r="W8" s="27" t="s">
        <v>241</v>
      </c>
      <c r="X8" s="27" t="s">
        <v>283</v>
      </c>
      <c r="Y8" s="27" t="s">
        <v>248</v>
      </c>
      <c r="Z8" s="27" t="s">
        <v>288</v>
      </c>
      <c r="AA8" s="27" t="s">
        <v>289</v>
      </c>
      <c r="AB8" s="27" t="s">
        <v>290</v>
      </c>
      <c r="AC8" s="27" t="s">
        <v>292</v>
      </c>
      <c r="AD8" s="27" t="s">
        <v>287</v>
      </c>
      <c r="AE8" s="27" t="s">
        <v>261</v>
      </c>
      <c r="AF8" s="27" t="s">
        <v>275</v>
      </c>
      <c r="AG8" s="27" t="s">
        <v>280</v>
      </c>
      <c r="AH8" s="27" t="s">
        <v>276</v>
      </c>
      <c r="AI8" s="27" t="s">
        <v>282</v>
      </c>
      <c r="AJ8" s="27" t="s">
        <v>274</v>
      </c>
      <c r="AK8" s="27" t="s">
        <v>256</v>
      </c>
      <c r="AL8" s="27" t="s">
        <v>271</v>
      </c>
      <c r="AM8" s="27" t="s">
        <v>260</v>
      </c>
      <c r="AN8" s="27" t="s">
        <v>279</v>
      </c>
      <c r="AO8" s="27" t="s">
        <v>281</v>
      </c>
    </row>
    <row r="9" spans="1:41" x14ac:dyDescent="0.2">
      <c r="A9" s="27" t="s">
        <v>247</v>
      </c>
      <c r="B9" s="28">
        <f>(Ficha!N27+Ficha!N22)/4</f>
        <v>0</v>
      </c>
      <c r="D9" s="329" t="s">
        <v>686</v>
      </c>
      <c r="E9" s="329"/>
      <c r="F9" s="72">
        <f>SUMIF(Ficha!AQ4:AR11,"&gt;0",Ficha!AQ4:AR11)</f>
        <v>0</v>
      </c>
      <c r="H9" s="27" t="s">
        <v>554</v>
      </c>
      <c r="I9" s="27" t="s">
        <v>232</v>
      </c>
      <c r="J9" s="27" t="s">
        <v>236</v>
      </c>
      <c r="K9" s="27" t="s">
        <v>246</v>
      </c>
      <c r="L9" s="27" t="s">
        <v>251</v>
      </c>
      <c r="M9" s="27" t="s">
        <v>252</v>
      </c>
      <c r="N9" s="27" t="s">
        <v>242</v>
      </c>
      <c r="O9" s="27" t="s">
        <v>245</v>
      </c>
      <c r="P9" s="27" t="s">
        <v>239</v>
      </c>
      <c r="Q9" s="27" t="s">
        <v>268</v>
      </c>
      <c r="R9" s="27" t="s">
        <v>234</v>
      </c>
      <c r="S9" s="27" t="s">
        <v>257</v>
      </c>
      <c r="T9" s="27" t="s">
        <v>250</v>
      </c>
      <c r="U9" s="27" t="s">
        <v>277</v>
      </c>
      <c r="V9" s="27" t="s">
        <v>264</v>
      </c>
      <c r="W9" s="27" t="s">
        <v>241</v>
      </c>
      <c r="X9" s="27" t="s">
        <v>283</v>
      </c>
      <c r="Y9" s="27" t="s">
        <v>248</v>
      </c>
      <c r="Z9" s="27" t="s">
        <v>288</v>
      </c>
      <c r="AA9" s="27" t="s">
        <v>289</v>
      </c>
      <c r="AB9" s="27" t="s">
        <v>290</v>
      </c>
      <c r="AC9" s="27" t="s">
        <v>292</v>
      </c>
      <c r="AD9" s="27" t="s">
        <v>287</v>
      </c>
      <c r="AE9" s="27" t="s">
        <v>261</v>
      </c>
      <c r="AF9" s="27" t="s">
        <v>275</v>
      </c>
      <c r="AG9" s="27" t="s">
        <v>280</v>
      </c>
      <c r="AH9" s="27" t="s">
        <v>276</v>
      </c>
      <c r="AI9" s="27" t="s">
        <v>282</v>
      </c>
      <c r="AJ9" s="27" t="s">
        <v>274</v>
      </c>
      <c r="AK9" s="27" t="s">
        <v>256</v>
      </c>
      <c r="AL9" s="27" t="s">
        <v>271</v>
      </c>
      <c r="AM9" s="27" t="s">
        <v>260</v>
      </c>
      <c r="AN9" s="27" t="s">
        <v>279</v>
      </c>
      <c r="AO9" s="27" t="s">
        <v>281</v>
      </c>
    </row>
    <row r="10" spans="1:41" x14ac:dyDescent="0.2">
      <c r="A10" s="27" t="s">
        <v>267</v>
      </c>
      <c r="B10" s="28">
        <f>Ficha!N22/2</f>
        <v>0</v>
      </c>
      <c r="D10" s="329" t="s">
        <v>687</v>
      </c>
      <c r="E10" s="329"/>
      <c r="F10" s="72">
        <f>ABS(SUMIF(Ficha!AQ4:AR11,"&lt;0",Ficha!AQ4:AR11))</f>
        <v>0</v>
      </c>
      <c r="H10" s="27" t="s">
        <v>555</v>
      </c>
      <c r="I10" s="27" t="s">
        <v>232</v>
      </c>
      <c r="J10" s="27" t="s">
        <v>236</v>
      </c>
      <c r="K10" s="27" t="s">
        <v>246</v>
      </c>
      <c r="L10" s="27" t="s">
        <v>251</v>
      </c>
      <c r="M10" s="27" t="s">
        <v>252</v>
      </c>
      <c r="N10" s="27" t="s">
        <v>242</v>
      </c>
      <c r="O10" s="27" t="s">
        <v>245</v>
      </c>
      <c r="P10" s="27" t="s">
        <v>239</v>
      </c>
      <c r="Q10" s="27" t="s">
        <v>268</v>
      </c>
      <c r="R10" s="27" t="s">
        <v>234</v>
      </c>
      <c r="S10" s="27" t="s">
        <v>257</v>
      </c>
      <c r="T10" s="27" t="s">
        <v>250</v>
      </c>
      <c r="U10" s="27" t="s">
        <v>277</v>
      </c>
      <c r="V10" s="27" t="s">
        <v>264</v>
      </c>
      <c r="W10" s="27" t="s">
        <v>241</v>
      </c>
      <c r="X10" s="27" t="s">
        <v>283</v>
      </c>
      <c r="Y10" s="27" t="s">
        <v>248</v>
      </c>
      <c r="Z10" s="27" t="s">
        <v>288</v>
      </c>
      <c r="AA10" s="27" t="s">
        <v>289</v>
      </c>
      <c r="AB10" s="27" t="s">
        <v>290</v>
      </c>
      <c r="AC10" s="27" t="s">
        <v>292</v>
      </c>
      <c r="AD10" s="27" t="s">
        <v>287</v>
      </c>
      <c r="AE10" s="27" t="s">
        <v>261</v>
      </c>
      <c r="AF10" s="27" t="s">
        <v>275</v>
      </c>
      <c r="AG10" s="27" t="s">
        <v>280</v>
      </c>
      <c r="AH10" s="27" t="s">
        <v>276</v>
      </c>
      <c r="AI10" s="27" t="s">
        <v>282</v>
      </c>
      <c r="AJ10" s="27" t="s">
        <v>274</v>
      </c>
      <c r="AK10" s="27" t="s">
        <v>256</v>
      </c>
      <c r="AL10" s="27" t="s">
        <v>271</v>
      </c>
      <c r="AM10" s="27" t="s">
        <v>260</v>
      </c>
      <c r="AN10" s="27" t="s">
        <v>279</v>
      </c>
      <c r="AO10" s="27" t="s">
        <v>281</v>
      </c>
    </row>
    <row r="11" spans="1:41" x14ac:dyDescent="0.2">
      <c r="A11" s="27" t="s">
        <v>252</v>
      </c>
      <c r="B11" s="28">
        <f>Ficha!N22</f>
        <v>0</v>
      </c>
      <c r="H11" s="27" t="s">
        <v>556</v>
      </c>
      <c r="I11" s="27" t="s">
        <v>232</v>
      </c>
      <c r="J11" s="27" t="s">
        <v>236</v>
      </c>
      <c r="K11" s="27" t="s">
        <v>246</v>
      </c>
      <c r="L11" s="27" t="s">
        <v>251</v>
      </c>
      <c r="M11" s="27" t="s">
        <v>252</v>
      </c>
      <c r="N11" s="27" t="s">
        <v>242</v>
      </c>
      <c r="O11" s="27" t="s">
        <v>245</v>
      </c>
      <c r="P11" s="27" t="s">
        <v>239</v>
      </c>
      <c r="Q11" s="27" t="s">
        <v>268</v>
      </c>
      <c r="R11" s="27" t="s">
        <v>234</v>
      </c>
      <c r="S11" s="27" t="s">
        <v>257</v>
      </c>
      <c r="T11" s="27" t="s">
        <v>250</v>
      </c>
      <c r="U11" s="27" t="s">
        <v>277</v>
      </c>
      <c r="V11" s="27" t="s">
        <v>264</v>
      </c>
      <c r="W11" s="27" t="s">
        <v>241</v>
      </c>
      <c r="X11" s="27" t="s">
        <v>283</v>
      </c>
      <c r="Y11" s="27" t="s">
        <v>248</v>
      </c>
      <c r="Z11" s="27" t="s">
        <v>288</v>
      </c>
      <c r="AA11" s="27" t="s">
        <v>289</v>
      </c>
      <c r="AB11" s="27" t="s">
        <v>290</v>
      </c>
      <c r="AC11" s="27" t="s">
        <v>292</v>
      </c>
      <c r="AD11" s="27" t="s">
        <v>287</v>
      </c>
      <c r="AE11" s="27" t="s">
        <v>261</v>
      </c>
      <c r="AF11" s="27" t="s">
        <v>275</v>
      </c>
      <c r="AG11" s="27" t="s">
        <v>280</v>
      </c>
      <c r="AH11" s="27" t="s">
        <v>276</v>
      </c>
      <c r="AI11" s="27" t="s">
        <v>282</v>
      </c>
      <c r="AJ11" s="27" t="s">
        <v>274</v>
      </c>
      <c r="AK11" s="27" t="s">
        <v>256</v>
      </c>
      <c r="AL11" s="27" t="s">
        <v>271</v>
      </c>
      <c r="AM11" s="27" t="s">
        <v>260</v>
      </c>
      <c r="AN11" s="27" t="s">
        <v>279</v>
      </c>
      <c r="AO11" s="27" t="s">
        <v>281</v>
      </c>
    </row>
    <row r="12" spans="1:41" x14ac:dyDescent="0.2">
      <c r="A12" s="27" t="s">
        <v>242</v>
      </c>
      <c r="B12" s="28">
        <f>Ficha!N27</f>
        <v>0</v>
      </c>
      <c r="H12" s="27" t="s">
        <v>557</v>
      </c>
      <c r="I12" s="27" t="s">
        <v>232</v>
      </c>
      <c r="J12" s="27" t="s">
        <v>236</v>
      </c>
      <c r="K12" s="27" t="s">
        <v>246</v>
      </c>
      <c r="L12" s="27" t="s">
        <v>251</v>
      </c>
      <c r="M12" s="27" t="s">
        <v>252</v>
      </c>
      <c r="N12" s="27" t="s">
        <v>242</v>
      </c>
      <c r="O12" s="27" t="s">
        <v>245</v>
      </c>
      <c r="P12" s="27" t="s">
        <v>239</v>
      </c>
      <c r="Q12" s="27" t="s">
        <v>268</v>
      </c>
      <c r="R12" s="27" t="s">
        <v>234</v>
      </c>
      <c r="S12" s="27" t="s">
        <v>257</v>
      </c>
      <c r="T12" s="27" t="s">
        <v>250</v>
      </c>
      <c r="U12" s="27" t="s">
        <v>277</v>
      </c>
      <c r="V12" s="27" t="s">
        <v>264</v>
      </c>
      <c r="W12" s="27" t="s">
        <v>241</v>
      </c>
      <c r="X12" s="27" t="s">
        <v>283</v>
      </c>
      <c r="Y12" s="27" t="s">
        <v>248</v>
      </c>
      <c r="Z12" s="27" t="s">
        <v>288</v>
      </c>
      <c r="AA12" s="27" t="s">
        <v>289</v>
      </c>
      <c r="AB12" s="27" t="s">
        <v>290</v>
      </c>
      <c r="AC12" s="27" t="s">
        <v>292</v>
      </c>
      <c r="AD12" s="27" t="s">
        <v>287</v>
      </c>
      <c r="AE12" s="27" t="s">
        <v>261</v>
      </c>
      <c r="AF12" s="27" t="s">
        <v>275</v>
      </c>
      <c r="AG12" s="27" t="s">
        <v>280</v>
      </c>
      <c r="AH12" s="27" t="s">
        <v>276</v>
      </c>
      <c r="AI12" s="27" t="s">
        <v>282</v>
      </c>
      <c r="AJ12" s="27" t="s">
        <v>274</v>
      </c>
      <c r="AK12" s="27" t="s">
        <v>256</v>
      </c>
      <c r="AL12" s="27" t="s">
        <v>271</v>
      </c>
      <c r="AM12" s="27" t="s">
        <v>260</v>
      </c>
      <c r="AN12" s="27" t="s">
        <v>279</v>
      </c>
      <c r="AO12" s="27" t="s">
        <v>281</v>
      </c>
    </row>
    <row r="13" spans="1:41" x14ac:dyDescent="0.2">
      <c r="A13" s="27" t="s">
        <v>245</v>
      </c>
      <c r="B13" s="28">
        <f>Ficha!N25/2</f>
        <v>0</v>
      </c>
      <c r="H13" s="27" t="s">
        <v>558</v>
      </c>
      <c r="I13" s="27" t="s">
        <v>232</v>
      </c>
      <c r="J13" s="27" t="s">
        <v>236</v>
      </c>
      <c r="K13" s="27" t="s">
        <v>246</v>
      </c>
      <c r="L13" s="27" t="s">
        <v>251</v>
      </c>
      <c r="M13" s="27" t="s">
        <v>252</v>
      </c>
      <c r="N13" s="27" t="s">
        <v>242</v>
      </c>
      <c r="O13" s="27" t="s">
        <v>245</v>
      </c>
      <c r="P13" s="27" t="s">
        <v>239</v>
      </c>
      <c r="Q13" s="27" t="s">
        <v>268</v>
      </c>
      <c r="R13" s="27" t="s">
        <v>234</v>
      </c>
      <c r="S13" s="27" t="s">
        <v>257</v>
      </c>
      <c r="T13" s="27" t="s">
        <v>250</v>
      </c>
      <c r="U13" s="27" t="s">
        <v>277</v>
      </c>
      <c r="V13" s="27" t="s">
        <v>264</v>
      </c>
      <c r="W13" s="27" t="s">
        <v>241</v>
      </c>
      <c r="X13" s="27" t="s">
        <v>283</v>
      </c>
      <c r="Y13" s="27" t="s">
        <v>248</v>
      </c>
      <c r="Z13" s="27" t="s">
        <v>288</v>
      </c>
      <c r="AA13" s="27" t="s">
        <v>289</v>
      </c>
      <c r="AB13" s="27" t="s">
        <v>290</v>
      </c>
      <c r="AC13" s="27" t="s">
        <v>292</v>
      </c>
      <c r="AD13" s="27" t="s">
        <v>287</v>
      </c>
      <c r="AE13" s="27" t="s">
        <v>261</v>
      </c>
      <c r="AF13" s="27" t="s">
        <v>275</v>
      </c>
      <c r="AG13" s="27" t="s">
        <v>280</v>
      </c>
      <c r="AH13" s="27" t="s">
        <v>276</v>
      </c>
      <c r="AI13" s="27" t="s">
        <v>282</v>
      </c>
      <c r="AJ13" s="27" t="s">
        <v>274</v>
      </c>
      <c r="AK13" s="27" t="s">
        <v>256</v>
      </c>
      <c r="AL13" s="27" t="s">
        <v>271</v>
      </c>
      <c r="AM13" s="27" t="s">
        <v>260</v>
      </c>
      <c r="AN13" s="27" t="s">
        <v>279</v>
      </c>
      <c r="AO13" s="27" t="s">
        <v>281</v>
      </c>
    </row>
    <row r="14" spans="1:41" x14ac:dyDescent="0.2">
      <c r="A14" s="27" t="s">
        <v>264</v>
      </c>
      <c r="B14" s="28">
        <f>Ficha!N27/2</f>
        <v>0</v>
      </c>
      <c r="H14" s="27" t="s">
        <v>559</v>
      </c>
      <c r="I14" s="27" t="s">
        <v>232</v>
      </c>
      <c r="J14" s="27" t="s">
        <v>236</v>
      </c>
      <c r="K14" s="27" t="s">
        <v>246</v>
      </c>
      <c r="L14" s="27" t="s">
        <v>251</v>
      </c>
      <c r="M14" s="27" t="s">
        <v>252</v>
      </c>
      <c r="N14" s="27" t="s">
        <v>242</v>
      </c>
      <c r="O14" s="27" t="s">
        <v>245</v>
      </c>
      <c r="P14" s="27" t="s">
        <v>239</v>
      </c>
      <c r="Q14" s="27" t="s">
        <v>268</v>
      </c>
      <c r="R14" s="27" t="s">
        <v>234</v>
      </c>
      <c r="S14" s="27" t="s">
        <v>257</v>
      </c>
      <c r="T14" s="27" t="s">
        <v>250</v>
      </c>
      <c r="U14" s="27" t="s">
        <v>277</v>
      </c>
      <c r="V14" s="27" t="s">
        <v>264</v>
      </c>
      <c r="W14" s="27" t="s">
        <v>241</v>
      </c>
      <c r="X14" s="27" t="s">
        <v>283</v>
      </c>
      <c r="Y14" s="27" t="s">
        <v>248</v>
      </c>
      <c r="Z14" s="27" t="s">
        <v>288</v>
      </c>
      <c r="AA14" s="27" t="s">
        <v>289</v>
      </c>
      <c r="AB14" s="27" t="s">
        <v>290</v>
      </c>
      <c r="AC14" s="27" t="s">
        <v>292</v>
      </c>
      <c r="AD14" s="27" t="s">
        <v>287</v>
      </c>
      <c r="AE14" s="27" t="s">
        <v>261</v>
      </c>
      <c r="AF14" s="27" t="s">
        <v>275</v>
      </c>
      <c r="AG14" s="27" t="s">
        <v>280</v>
      </c>
      <c r="AH14" s="27" t="s">
        <v>276</v>
      </c>
      <c r="AI14" s="27" t="s">
        <v>282</v>
      </c>
      <c r="AJ14" s="27" t="s">
        <v>274</v>
      </c>
      <c r="AK14" s="27" t="s">
        <v>256</v>
      </c>
      <c r="AL14" s="27" t="s">
        <v>271</v>
      </c>
      <c r="AM14" s="27" t="s">
        <v>260</v>
      </c>
      <c r="AN14" s="27" t="s">
        <v>279</v>
      </c>
      <c r="AO14" s="27" t="s">
        <v>281</v>
      </c>
    </row>
    <row r="15" spans="1:41" x14ac:dyDescent="0.2">
      <c r="A15" s="27" t="s">
        <v>250</v>
      </c>
      <c r="B15" s="28">
        <f>(Ficha!N22+Ficha!N25)/2</f>
        <v>0</v>
      </c>
      <c r="H15" s="27" t="s">
        <v>560</v>
      </c>
      <c r="I15" s="27" t="s">
        <v>232</v>
      </c>
      <c r="J15" s="27" t="s">
        <v>236</v>
      </c>
      <c r="K15" s="27" t="s">
        <v>246</v>
      </c>
      <c r="L15" s="27" t="s">
        <v>251</v>
      </c>
      <c r="M15" s="27" t="s">
        <v>252</v>
      </c>
      <c r="N15" s="27" t="s">
        <v>242</v>
      </c>
      <c r="O15" s="27" t="s">
        <v>245</v>
      </c>
      <c r="P15" s="27" t="s">
        <v>239</v>
      </c>
      <c r="Q15" s="27" t="s">
        <v>268</v>
      </c>
      <c r="R15" s="27" t="s">
        <v>234</v>
      </c>
      <c r="S15" s="27" t="s">
        <v>257</v>
      </c>
      <c r="T15" s="27" t="s">
        <v>250</v>
      </c>
      <c r="U15" s="27" t="s">
        <v>277</v>
      </c>
      <c r="V15" s="27" t="s">
        <v>264</v>
      </c>
      <c r="W15" s="27" t="s">
        <v>241</v>
      </c>
      <c r="X15" s="27" t="s">
        <v>283</v>
      </c>
      <c r="Y15" s="27" t="s">
        <v>248</v>
      </c>
      <c r="Z15" s="27" t="s">
        <v>288</v>
      </c>
      <c r="AA15" s="27" t="s">
        <v>289</v>
      </c>
      <c r="AB15" s="27" t="s">
        <v>290</v>
      </c>
      <c r="AC15" s="27" t="s">
        <v>292</v>
      </c>
      <c r="AD15" s="27" t="s">
        <v>287</v>
      </c>
      <c r="AE15" s="27" t="s">
        <v>261</v>
      </c>
      <c r="AF15" s="27" t="s">
        <v>275</v>
      </c>
      <c r="AG15" s="27" t="s">
        <v>280</v>
      </c>
      <c r="AH15" s="27" t="s">
        <v>276</v>
      </c>
      <c r="AI15" s="27" t="s">
        <v>282</v>
      </c>
      <c r="AJ15" s="27" t="s">
        <v>274</v>
      </c>
      <c r="AK15" s="27" t="s">
        <v>256</v>
      </c>
      <c r="AL15" s="27" t="s">
        <v>271</v>
      </c>
      <c r="AM15" s="27" t="s">
        <v>260</v>
      </c>
      <c r="AN15" s="27" t="s">
        <v>279</v>
      </c>
      <c r="AO15" s="27" t="s">
        <v>281</v>
      </c>
    </row>
    <row r="16" spans="1:41" x14ac:dyDescent="0.2">
      <c r="A16" s="27" t="s">
        <v>272</v>
      </c>
      <c r="B16" s="28">
        <f>(Ficha!N27+Ficha!N25)/4</f>
        <v>0</v>
      </c>
      <c r="H16" s="27" t="s">
        <v>193</v>
      </c>
      <c r="I16" s="27" t="s">
        <v>236</v>
      </c>
      <c r="J16" s="27" t="s">
        <v>241</v>
      </c>
      <c r="K16" s="27" t="s">
        <v>248</v>
      </c>
      <c r="L16" s="27" t="s">
        <v>253</v>
      </c>
      <c r="M16" s="27" t="s">
        <v>255</v>
      </c>
      <c r="N16" s="27" t="s">
        <v>259</v>
      </c>
      <c r="O16" s="27" t="s">
        <v>262</v>
      </c>
      <c r="P16" s="27" t="s">
        <v>266</v>
      </c>
      <c r="Q16" s="27" t="s">
        <v>270</v>
      </c>
      <c r="R16" s="27" t="s">
        <v>256</v>
      </c>
      <c r="S16" s="27" t="s">
        <v>260</v>
      </c>
      <c r="T16" s="27" t="s">
        <v>279</v>
      </c>
      <c r="U16" s="27" t="s">
        <v>281</v>
      </c>
    </row>
    <row r="17" spans="1:64" x14ac:dyDescent="0.2">
      <c r="A17" s="27" t="s">
        <v>257</v>
      </c>
      <c r="B17" s="28">
        <f>Ficha!N25/2</f>
        <v>0</v>
      </c>
      <c r="H17" s="27" t="s">
        <v>194</v>
      </c>
      <c r="I17" s="27" t="s">
        <v>232</v>
      </c>
      <c r="J17" s="27" t="s">
        <v>237</v>
      </c>
      <c r="K17" s="27" t="s">
        <v>243</v>
      </c>
      <c r="L17" s="27" t="s">
        <v>246</v>
      </c>
      <c r="M17" s="27" t="s">
        <v>251</v>
      </c>
      <c r="N17" s="27" t="s">
        <v>242</v>
      </c>
      <c r="O17" s="27" t="s">
        <v>245</v>
      </c>
      <c r="P17" s="27" t="s">
        <v>264</v>
      </c>
      <c r="Q17" s="27" t="s">
        <v>250</v>
      </c>
      <c r="R17" s="27" t="s">
        <v>272</v>
      </c>
      <c r="S17" s="27" t="s">
        <v>257</v>
      </c>
      <c r="T17" s="27" t="s">
        <v>277</v>
      </c>
      <c r="U17" s="27" t="s">
        <v>239</v>
      </c>
      <c r="V17" s="27" t="s">
        <v>268</v>
      </c>
      <c r="W17" s="27" t="s">
        <v>234</v>
      </c>
      <c r="X17" s="27" t="s">
        <v>284</v>
      </c>
      <c r="Y17" s="27" t="s">
        <v>263</v>
      </c>
      <c r="Z17" s="27" t="s">
        <v>283</v>
      </c>
      <c r="AA17" s="27" t="s">
        <v>288</v>
      </c>
      <c r="AB17" s="27" t="s">
        <v>291</v>
      </c>
      <c r="AC17" s="27" t="s">
        <v>290</v>
      </c>
      <c r="AD17" s="27" t="s">
        <v>292</v>
      </c>
      <c r="AE17" s="27" t="s">
        <v>287</v>
      </c>
      <c r="AF17" s="27" t="s">
        <v>271</v>
      </c>
      <c r="AG17" s="27" t="s">
        <v>281</v>
      </c>
    </row>
    <row r="18" spans="1:64" x14ac:dyDescent="0.2">
      <c r="A18" s="27" t="s">
        <v>285</v>
      </c>
      <c r="B18" s="28">
        <f>Ficha!N25/2</f>
        <v>0</v>
      </c>
      <c r="H18" s="27" t="s">
        <v>195</v>
      </c>
      <c r="I18" s="27" t="s">
        <v>235</v>
      </c>
      <c r="J18" s="27" t="s">
        <v>240</v>
      </c>
      <c r="K18" s="27" t="s">
        <v>247</v>
      </c>
      <c r="L18" s="27" t="s">
        <v>252</v>
      </c>
      <c r="M18" s="27" t="s">
        <v>254</v>
      </c>
      <c r="N18" s="27" t="s">
        <v>258</v>
      </c>
      <c r="O18" s="27" t="s">
        <v>261</v>
      </c>
      <c r="P18" s="27" t="s">
        <v>265</v>
      </c>
      <c r="Q18" s="27" t="s">
        <v>269</v>
      </c>
      <c r="R18" s="27" t="s">
        <v>273</v>
      </c>
      <c r="S18" s="27" t="s">
        <v>275</v>
      </c>
      <c r="T18" s="27" t="s">
        <v>278</v>
      </c>
      <c r="U18" s="27" t="s">
        <v>280</v>
      </c>
      <c r="V18" s="27" t="s">
        <v>276</v>
      </c>
      <c r="W18" s="27" t="s">
        <v>266</v>
      </c>
      <c r="X18" s="27" t="s">
        <v>282</v>
      </c>
      <c r="Y18" s="27" t="s">
        <v>274</v>
      </c>
      <c r="Z18" s="27" t="s">
        <v>281</v>
      </c>
    </row>
    <row r="19" spans="1:64" x14ac:dyDescent="0.2">
      <c r="A19" s="27" t="s">
        <v>286</v>
      </c>
      <c r="B19" s="28">
        <f>(Ficha!N25+Ficha!N23)/3</f>
        <v>0</v>
      </c>
      <c r="H19" s="27" t="s">
        <v>196</v>
      </c>
      <c r="I19" s="27" t="s">
        <v>232</v>
      </c>
      <c r="J19" s="27" t="s">
        <v>237</v>
      </c>
      <c r="K19" s="27" t="s">
        <v>243</v>
      </c>
      <c r="L19" s="27" t="s">
        <v>236</v>
      </c>
      <c r="M19" s="27" t="s">
        <v>246</v>
      </c>
      <c r="N19" s="27" t="s">
        <v>251</v>
      </c>
      <c r="O19" s="27" t="s">
        <v>242</v>
      </c>
      <c r="P19" s="27" t="s">
        <v>245</v>
      </c>
      <c r="Q19" s="27" t="s">
        <v>264</v>
      </c>
      <c r="R19" s="27" t="s">
        <v>250</v>
      </c>
      <c r="S19" s="27" t="s">
        <v>272</v>
      </c>
      <c r="T19" s="27" t="s">
        <v>257</v>
      </c>
      <c r="U19" s="27" t="s">
        <v>277</v>
      </c>
      <c r="V19" s="27" t="s">
        <v>239</v>
      </c>
      <c r="W19" s="27" t="s">
        <v>268</v>
      </c>
      <c r="X19" s="27" t="s">
        <v>234</v>
      </c>
      <c r="Y19" s="27" t="s">
        <v>284</v>
      </c>
      <c r="Z19" s="27" t="s">
        <v>241</v>
      </c>
      <c r="AA19" s="27" t="s">
        <v>263</v>
      </c>
      <c r="AB19" s="27" t="s">
        <v>283</v>
      </c>
      <c r="AC19" s="27" t="s">
        <v>248</v>
      </c>
      <c r="AD19" s="27" t="s">
        <v>253</v>
      </c>
      <c r="AE19" s="27" t="s">
        <v>255</v>
      </c>
      <c r="AF19" s="27" t="s">
        <v>288</v>
      </c>
      <c r="AG19" s="27" t="s">
        <v>291</v>
      </c>
      <c r="AH19" s="27" t="s">
        <v>290</v>
      </c>
      <c r="AI19" s="27" t="s">
        <v>292</v>
      </c>
      <c r="AJ19" s="27" t="s">
        <v>287</v>
      </c>
      <c r="AK19" s="27" t="s">
        <v>259</v>
      </c>
      <c r="AL19" s="27" t="s">
        <v>262</v>
      </c>
      <c r="AM19" s="27" t="s">
        <v>266</v>
      </c>
      <c r="AN19" s="27" t="s">
        <v>270</v>
      </c>
      <c r="AO19" s="27" t="s">
        <v>256</v>
      </c>
      <c r="AP19" s="27" t="s">
        <v>271</v>
      </c>
      <c r="AQ19" s="27" t="s">
        <v>260</v>
      </c>
      <c r="AR19" s="27" t="s">
        <v>279</v>
      </c>
      <c r="AS19" s="27" t="s">
        <v>281</v>
      </c>
    </row>
    <row r="20" spans="1:64" x14ac:dyDescent="0.2">
      <c r="A20" s="27" t="s">
        <v>268</v>
      </c>
      <c r="B20" s="28">
        <f>(Ficha!N25+Ficha!N27)/3</f>
        <v>0</v>
      </c>
      <c r="H20" s="27" t="s">
        <v>197</v>
      </c>
      <c r="I20" s="27" t="s">
        <v>232</v>
      </c>
      <c r="J20" s="27" t="s">
        <v>237</v>
      </c>
      <c r="K20" s="27" t="s">
        <v>243</v>
      </c>
      <c r="L20" s="27" t="s">
        <v>246</v>
      </c>
      <c r="M20" s="27" t="s">
        <v>235</v>
      </c>
      <c r="N20" s="27" t="s">
        <v>240</v>
      </c>
      <c r="O20" s="27" t="s">
        <v>251</v>
      </c>
      <c r="P20" s="27" t="s">
        <v>247</v>
      </c>
      <c r="Q20" s="27" t="s">
        <v>252</v>
      </c>
      <c r="R20" s="27" t="s">
        <v>242</v>
      </c>
      <c r="S20" s="27" t="s">
        <v>245</v>
      </c>
      <c r="T20" s="27" t="s">
        <v>264</v>
      </c>
      <c r="U20" s="27" t="s">
        <v>250</v>
      </c>
      <c r="V20" s="27" t="s">
        <v>272</v>
      </c>
      <c r="W20" s="27" t="s">
        <v>257</v>
      </c>
      <c r="X20" s="27" t="s">
        <v>277</v>
      </c>
      <c r="Y20" s="27" t="s">
        <v>239</v>
      </c>
      <c r="Z20" s="27" t="s">
        <v>268</v>
      </c>
      <c r="AA20" s="27" t="s">
        <v>234</v>
      </c>
      <c r="AB20" s="27" t="s">
        <v>284</v>
      </c>
      <c r="AC20" s="27" t="s">
        <v>263</v>
      </c>
      <c r="AD20" s="27" t="s">
        <v>254</v>
      </c>
      <c r="AE20" s="27" t="s">
        <v>283</v>
      </c>
      <c r="AF20" s="27" t="s">
        <v>288</v>
      </c>
      <c r="AG20" s="27" t="s">
        <v>291</v>
      </c>
      <c r="AH20" s="27" t="s">
        <v>290</v>
      </c>
      <c r="AI20" s="27" t="s">
        <v>258</v>
      </c>
      <c r="AJ20" s="27" t="s">
        <v>292</v>
      </c>
      <c r="AK20" s="27" t="s">
        <v>287</v>
      </c>
      <c r="AL20" s="27" t="s">
        <v>261</v>
      </c>
      <c r="AM20" s="27" t="s">
        <v>265</v>
      </c>
      <c r="AN20" s="27" t="s">
        <v>269</v>
      </c>
      <c r="AO20" s="27" t="s">
        <v>273</v>
      </c>
      <c r="AP20" s="27" t="s">
        <v>275</v>
      </c>
      <c r="AQ20" s="27" t="s">
        <v>278</v>
      </c>
      <c r="AR20" s="27" t="s">
        <v>280</v>
      </c>
      <c r="AS20" s="27" t="s">
        <v>276</v>
      </c>
      <c r="AT20" s="27" t="s">
        <v>266</v>
      </c>
      <c r="AU20" s="27" t="s">
        <v>282</v>
      </c>
      <c r="AV20" s="27" t="s">
        <v>274</v>
      </c>
      <c r="AW20" s="27" t="s">
        <v>271</v>
      </c>
      <c r="AX20" s="27" t="s">
        <v>281</v>
      </c>
    </row>
    <row r="21" spans="1:64" x14ac:dyDescent="0.2">
      <c r="A21" s="27" t="s">
        <v>234</v>
      </c>
      <c r="B21" s="28">
        <f>(Ficha!N24+Ficha!N25)/2</f>
        <v>0</v>
      </c>
      <c r="H21" s="27" t="s">
        <v>198</v>
      </c>
      <c r="I21" s="27" t="s">
        <v>236</v>
      </c>
      <c r="J21" s="27" t="s">
        <v>235</v>
      </c>
      <c r="K21" s="27" t="s">
        <v>240</v>
      </c>
      <c r="L21" s="27" t="s">
        <v>247</v>
      </c>
      <c r="M21" s="27" t="s">
        <v>252</v>
      </c>
      <c r="N21" s="27" t="s">
        <v>241</v>
      </c>
      <c r="O21" s="27" t="s">
        <v>254</v>
      </c>
      <c r="P21" s="27" t="s">
        <v>248</v>
      </c>
      <c r="Q21" s="27" t="s">
        <v>253</v>
      </c>
      <c r="R21" s="27" t="s">
        <v>255</v>
      </c>
      <c r="S21" s="27" t="s">
        <v>258</v>
      </c>
      <c r="T21" s="27" t="s">
        <v>261</v>
      </c>
      <c r="U21" s="27" t="s">
        <v>265</v>
      </c>
      <c r="V21" s="27" t="s">
        <v>269</v>
      </c>
      <c r="W21" s="27" t="s">
        <v>259</v>
      </c>
      <c r="X21" s="27" t="s">
        <v>262</v>
      </c>
      <c r="Y21" s="27" t="s">
        <v>273</v>
      </c>
      <c r="Z21" s="27" t="s">
        <v>275</v>
      </c>
      <c r="AA21" s="27" t="s">
        <v>278</v>
      </c>
      <c r="AB21" s="27" t="s">
        <v>280</v>
      </c>
      <c r="AC21" s="27" t="s">
        <v>276</v>
      </c>
      <c r="AD21" s="27" t="s">
        <v>266</v>
      </c>
      <c r="AE21" s="27" t="s">
        <v>270</v>
      </c>
      <c r="AF21" s="27" t="s">
        <v>282</v>
      </c>
      <c r="AG21" s="27" t="s">
        <v>274</v>
      </c>
      <c r="AH21" s="27" t="s">
        <v>256</v>
      </c>
      <c r="AI21" s="27" t="s">
        <v>260</v>
      </c>
      <c r="AJ21" s="27" t="s">
        <v>279</v>
      </c>
      <c r="AK21" s="27" t="s">
        <v>281</v>
      </c>
    </row>
    <row r="22" spans="1:64" x14ac:dyDescent="0.2">
      <c r="A22" s="27" t="s">
        <v>284</v>
      </c>
      <c r="B22" s="28">
        <f>(Ficha!N25+Ficha!N27)/4</f>
        <v>0</v>
      </c>
      <c r="H22" s="27" t="s">
        <v>199</v>
      </c>
      <c r="I22" s="27" t="s">
        <v>232</v>
      </c>
      <c r="J22" s="27" t="s">
        <v>237</v>
      </c>
      <c r="K22" s="27" t="s">
        <v>243</v>
      </c>
      <c r="L22" s="27" t="s">
        <v>236</v>
      </c>
      <c r="M22" s="27" t="s">
        <v>246</v>
      </c>
      <c r="N22" s="27" t="s">
        <v>235</v>
      </c>
      <c r="O22" s="27" t="s">
        <v>240</v>
      </c>
      <c r="P22" s="27" t="s">
        <v>247</v>
      </c>
      <c r="Q22" s="27" t="s">
        <v>267</v>
      </c>
      <c r="R22" s="27" t="s">
        <v>252</v>
      </c>
      <c r="S22" s="27" t="s">
        <v>242</v>
      </c>
      <c r="T22" s="27" t="s">
        <v>245</v>
      </c>
      <c r="U22" s="27" t="s">
        <v>264</v>
      </c>
      <c r="V22" s="27" t="s">
        <v>250</v>
      </c>
      <c r="W22" s="27" t="s">
        <v>272</v>
      </c>
      <c r="X22" s="27" t="s">
        <v>257</v>
      </c>
      <c r="Y22" s="27" t="s">
        <v>285</v>
      </c>
      <c r="Z22" s="27" t="s">
        <v>286</v>
      </c>
      <c r="AA22" s="27" t="s">
        <v>268</v>
      </c>
      <c r="AB22" s="27" t="s">
        <v>234</v>
      </c>
      <c r="AC22" s="27" t="s">
        <v>284</v>
      </c>
      <c r="AD22" s="27" t="s">
        <v>241</v>
      </c>
      <c r="AE22" s="27" t="s">
        <v>263</v>
      </c>
      <c r="AF22" s="27" t="s">
        <v>254</v>
      </c>
      <c r="AG22" s="27" t="s">
        <v>283</v>
      </c>
      <c r="AH22" s="27" t="s">
        <v>248</v>
      </c>
      <c r="AI22" s="27" t="s">
        <v>253</v>
      </c>
      <c r="AJ22" s="27" t="s">
        <v>293</v>
      </c>
      <c r="AK22" s="27" t="s">
        <v>288</v>
      </c>
      <c r="AL22" s="27" t="s">
        <v>291</v>
      </c>
      <c r="AM22" s="27" t="s">
        <v>290</v>
      </c>
      <c r="AN22" s="27" t="s">
        <v>294</v>
      </c>
      <c r="AO22" s="27" t="s">
        <v>292</v>
      </c>
      <c r="AP22" s="27" t="s">
        <v>287</v>
      </c>
      <c r="AQ22" s="27" t="s">
        <v>261</v>
      </c>
      <c r="AR22" s="27" t="s">
        <v>265</v>
      </c>
      <c r="AS22" s="27" t="s">
        <v>295</v>
      </c>
      <c r="AT22" s="27" t="s">
        <v>259</v>
      </c>
      <c r="AU22" s="27" t="s">
        <v>262</v>
      </c>
      <c r="AV22" s="27" t="s">
        <v>273</v>
      </c>
      <c r="AW22" s="27" t="s">
        <v>275</v>
      </c>
      <c r="AX22" s="27" t="s">
        <v>278</v>
      </c>
      <c r="AY22" s="27" t="s">
        <v>280</v>
      </c>
      <c r="AZ22" s="27" t="s">
        <v>276</v>
      </c>
      <c r="BA22" s="27" t="s">
        <v>266</v>
      </c>
      <c r="BB22" s="27" t="s">
        <v>270</v>
      </c>
      <c r="BC22" s="27" t="s">
        <v>282</v>
      </c>
      <c r="BD22" s="27" t="s">
        <v>274</v>
      </c>
      <c r="BE22" s="27" t="s">
        <v>256</v>
      </c>
      <c r="BF22" s="27" t="s">
        <v>271</v>
      </c>
      <c r="BG22" s="27" t="s">
        <v>260</v>
      </c>
      <c r="BH22" s="27" t="s">
        <v>279</v>
      </c>
      <c r="BI22" s="27" t="s">
        <v>281</v>
      </c>
    </row>
    <row r="23" spans="1:64" x14ac:dyDescent="0.2">
      <c r="A23" s="27" t="s">
        <v>241</v>
      </c>
      <c r="B23" s="28">
        <f>(Ficha!N27+Ficha!N24)/2</f>
        <v>0</v>
      </c>
      <c r="H23" s="27" t="s">
        <v>200</v>
      </c>
      <c r="I23" s="27" t="s">
        <v>232</v>
      </c>
      <c r="J23" s="27" t="s">
        <v>237</v>
      </c>
      <c r="K23" s="27" t="s">
        <v>243</v>
      </c>
      <c r="L23" s="27" t="s">
        <v>236</v>
      </c>
      <c r="M23" s="27" t="s">
        <v>246</v>
      </c>
      <c r="N23" s="27" t="s">
        <v>235</v>
      </c>
      <c r="O23" s="27" t="s">
        <v>240</v>
      </c>
      <c r="P23" s="27" t="s">
        <v>247</v>
      </c>
      <c r="Q23" s="27" t="s">
        <v>267</v>
      </c>
      <c r="R23" s="27" t="s">
        <v>252</v>
      </c>
      <c r="S23" s="27" t="s">
        <v>242</v>
      </c>
      <c r="T23" s="27" t="s">
        <v>245</v>
      </c>
      <c r="U23" s="27" t="s">
        <v>264</v>
      </c>
      <c r="V23" s="27" t="s">
        <v>250</v>
      </c>
      <c r="W23" s="27" t="s">
        <v>272</v>
      </c>
      <c r="X23" s="27" t="s">
        <v>257</v>
      </c>
      <c r="Y23" s="27" t="s">
        <v>285</v>
      </c>
      <c r="Z23" s="27" t="s">
        <v>286</v>
      </c>
      <c r="AA23" s="27" t="s">
        <v>268</v>
      </c>
      <c r="AB23" s="27" t="s">
        <v>234</v>
      </c>
      <c r="AC23" s="27" t="s">
        <v>284</v>
      </c>
      <c r="AD23" s="27" t="s">
        <v>241</v>
      </c>
      <c r="AE23" s="27" t="s">
        <v>263</v>
      </c>
      <c r="AF23" s="27" t="s">
        <v>254</v>
      </c>
      <c r="AG23" s="27" t="s">
        <v>283</v>
      </c>
      <c r="AH23" s="27" t="s">
        <v>248</v>
      </c>
      <c r="AI23" s="27" t="s">
        <v>253</v>
      </c>
      <c r="AJ23" s="27" t="s">
        <v>293</v>
      </c>
      <c r="AK23" s="27" t="s">
        <v>288</v>
      </c>
      <c r="AL23" s="27" t="s">
        <v>291</v>
      </c>
      <c r="AM23" s="27" t="s">
        <v>290</v>
      </c>
      <c r="AN23" s="27" t="s">
        <v>294</v>
      </c>
      <c r="AO23" s="27" t="s">
        <v>292</v>
      </c>
      <c r="AP23" s="27" t="s">
        <v>287</v>
      </c>
      <c r="AQ23" s="27" t="s">
        <v>261</v>
      </c>
      <c r="AR23" s="27" t="s">
        <v>265</v>
      </c>
      <c r="AS23" s="27" t="s">
        <v>295</v>
      </c>
      <c r="AT23" s="27" t="s">
        <v>259</v>
      </c>
      <c r="AU23" s="27" t="s">
        <v>262</v>
      </c>
      <c r="AV23" s="27" t="s">
        <v>273</v>
      </c>
      <c r="AW23" s="27" t="s">
        <v>275</v>
      </c>
      <c r="AX23" s="27" t="s">
        <v>278</v>
      </c>
      <c r="AY23" s="27" t="s">
        <v>280</v>
      </c>
      <c r="AZ23" s="27" t="s">
        <v>276</v>
      </c>
      <c r="BA23" s="27" t="s">
        <v>266</v>
      </c>
      <c r="BB23" s="27" t="s">
        <v>270</v>
      </c>
      <c r="BC23" s="27" t="s">
        <v>282</v>
      </c>
      <c r="BD23" s="27" t="s">
        <v>274</v>
      </c>
      <c r="BE23" s="27" t="s">
        <v>256</v>
      </c>
      <c r="BF23" s="27" t="s">
        <v>271</v>
      </c>
      <c r="BG23" s="27" t="s">
        <v>260</v>
      </c>
      <c r="BH23" s="27" t="s">
        <v>279</v>
      </c>
      <c r="BI23" s="27" t="s">
        <v>281</v>
      </c>
    </row>
    <row r="24" spans="1:64" x14ac:dyDescent="0.2">
      <c r="A24" s="27" t="s">
        <v>263</v>
      </c>
      <c r="B24" s="28">
        <f>Ficha!N22</f>
        <v>0</v>
      </c>
      <c r="H24" s="27" t="s">
        <v>201</v>
      </c>
      <c r="I24" s="27" t="s">
        <v>286</v>
      </c>
      <c r="J24" s="27" t="s">
        <v>248</v>
      </c>
      <c r="K24" s="27" t="s">
        <v>305</v>
      </c>
      <c r="L24" s="27" t="s">
        <v>304</v>
      </c>
    </row>
    <row r="25" spans="1:64" x14ac:dyDescent="0.2">
      <c r="A25" s="27" t="s">
        <v>254</v>
      </c>
      <c r="B25" s="28">
        <f>Ficha!N23</f>
        <v>0</v>
      </c>
      <c r="H25" s="27" t="s">
        <v>202</v>
      </c>
      <c r="I25" s="27" t="s">
        <v>306</v>
      </c>
    </row>
    <row r="26" spans="1:64" x14ac:dyDescent="0.2">
      <c r="A26" s="27" t="s">
        <v>283</v>
      </c>
      <c r="B26" s="28">
        <f>Ficha!N25/2</f>
        <v>0</v>
      </c>
      <c r="H26" s="27" t="s">
        <v>203</v>
      </c>
      <c r="I26" s="27" t="s">
        <v>236</v>
      </c>
      <c r="J26" s="27" t="s">
        <v>307</v>
      </c>
      <c r="K26" s="27" t="s">
        <v>241</v>
      </c>
      <c r="L26" s="27" t="s">
        <v>253</v>
      </c>
      <c r="M26" s="27" t="s">
        <v>256</v>
      </c>
      <c r="N26" s="27" t="s">
        <v>260</v>
      </c>
    </row>
    <row r="27" spans="1:64" x14ac:dyDescent="0.2">
      <c r="A27" s="27" t="s">
        <v>248</v>
      </c>
      <c r="B27" s="28">
        <f>Ficha!N25/2</f>
        <v>0</v>
      </c>
      <c r="H27" s="27" t="s">
        <v>204</v>
      </c>
      <c r="I27" s="27" t="s">
        <v>232</v>
      </c>
      <c r="J27" s="27" t="s">
        <v>237</v>
      </c>
      <c r="K27" s="27" t="s">
        <v>243</v>
      </c>
      <c r="L27" s="27" t="s">
        <v>236</v>
      </c>
      <c r="M27" s="27" t="s">
        <v>246</v>
      </c>
      <c r="N27" s="27" t="s">
        <v>235</v>
      </c>
      <c r="O27" s="27" t="s">
        <v>240</v>
      </c>
      <c r="P27" s="27" t="s">
        <v>247</v>
      </c>
      <c r="Q27" s="27" t="s">
        <v>267</v>
      </c>
      <c r="R27" s="27" t="s">
        <v>252</v>
      </c>
      <c r="S27" s="27" t="s">
        <v>242</v>
      </c>
      <c r="T27" s="27" t="s">
        <v>307</v>
      </c>
      <c r="U27" s="27" t="s">
        <v>245</v>
      </c>
      <c r="V27" s="27" t="s">
        <v>286</v>
      </c>
      <c r="W27" s="27" t="s">
        <v>264</v>
      </c>
      <c r="X27" s="27" t="s">
        <v>250</v>
      </c>
      <c r="Y27" s="27" t="s">
        <v>272</v>
      </c>
      <c r="Z27" s="27" t="s">
        <v>257</v>
      </c>
      <c r="AA27" s="27" t="s">
        <v>285</v>
      </c>
      <c r="AB27" s="27" t="s">
        <v>268</v>
      </c>
      <c r="AC27" s="27" t="s">
        <v>234</v>
      </c>
      <c r="AD27" s="27" t="s">
        <v>284</v>
      </c>
      <c r="AE27" s="27" t="s">
        <v>241</v>
      </c>
      <c r="AF27" s="27" t="s">
        <v>263</v>
      </c>
      <c r="AG27" s="27" t="s">
        <v>254</v>
      </c>
      <c r="AH27" s="27" t="s">
        <v>283</v>
      </c>
      <c r="AI27" s="27" t="s">
        <v>248</v>
      </c>
      <c r="AJ27" s="27" t="s">
        <v>253</v>
      </c>
      <c r="AK27" s="27" t="s">
        <v>293</v>
      </c>
      <c r="AL27" s="27" t="s">
        <v>288</v>
      </c>
      <c r="AM27" s="27" t="s">
        <v>291</v>
      </c>
      <c r="AN27" s="27" t="s">
        <v>290</v>
      </c>
      <c r="AO27" s="27" t="s">
        <v>294</v>
      </c>
      <c r="AP27" s="27" t="s">
        <v>292</v>
      </c>
      <c r="AQ27" s="27" t="s">
        <v>287</v>
      </c>
      <c r="AR27" s="27" t="s">
        <v>261</v>
      </c>
      <c r="AS27" s="27" t="s">
        <v>265</v>
      </c>
      <c r="AT27" s="27" t="s">
        <v>295</v>
      </c>
      <c r="AU27" s="27" t="s">
        <v>259</v>
      </c>
      <c r="AV27" s="27" t="s">
        <v>262</v>
      </c>
      <c r="AW27" s="27" t="s">
        <v>273</v>
      </c>
      <c r="AX27" s="27" t="s">
        <v>275</v>
      </c>
      <c r="AY27" s="27" t="s">
        <v>278</v>
      </c>
      <c r="AZ27" s="27" t="s">
        <v>280</v>
      </c>
      <c r="BA27" s="27" t="s">
        <v>276</v>
      </c>
      <c r="BB27" s="27" t="s">
        <v>266</v>
      </c>
      <c r="BC27" s="27" t="s">
        <v>305</v>
      </c>
      <c r="BD27" s="27" t="s">
        <v>304</v>
      </c>
      <c r="BE27" s="27" t="s">
        <v>270</v>
      </c>
      <c r="BF27" s="27" t="s">
        <v>282</v>
      </c>
      <c r="BG27" s="27" t="s">
        <v>274</v>
      </c>
      <c r="BH27" s="27" t="s">
        <v>256</v>
      </c>
      <c r="BI27" s="27" t="s">
        <v>271</v>
      </c>
      <c r="BJ27" s="27" t="s">
        <v>260</v>
      </c>
      <c r="BK27" s="27" t="s">
        <v>279</v>
      </c>
      <c r="BL27" s="27" t="s">
        <v>281</v>
      </c>
    </row>
    <row r="28" spans="1:64" x14ac:dyDescent="0.2">
      <c r="A28" s="27" t="s">
        <v>253</v>
      </c>
      <c r="B28" s="28">
        <f>(Ficha!N27+Ficha!N24)/2</f>
        <v>0</v>
      </c>
    </row>
    <row r="29" spans="1:64" x14ac:dyDescent="0.2">
      <c r="A29" s="27" t="s">
        <v>293</v>
      </c>
      <c r="B29" s="28">
        <f>Ficha!N25/2</f>
        <v>0</v>
      </c>
    </row>
    <row r="30" spans="1:64" x14ac:dyDescent="0.2">
      <c r="A30" s="27" t="s">
        <v>288</v>
      </c>
      <c r="B30" s="28">
        <f>Ficha!N22</f>
        <v>0</v>
      </c>
      <c r="I30" s="328" t="s">
        <v>674</v>
      </c>
      <c r="J30" s="328"/>
      <c r="K30" s="328"/>
      <c r="L30" s="328"/>
      <c r="M30" s="328"/>
    </row>
    <row r="31" spans="1:64" x14ac:dyDescent="0.2">
      <c r="A31" s="27" t="s">
        <v>291</v>
      </c>
      <c r="B31" s="28">
        <f>(Ficha!N22+Ficha!N21)/2</f>
        <v>0</v>
      </c>
      <c r="H31" s="27" t="s">
        <v>673</v>
      </c>
      <c r="I31" s="27" t="s">
        <v>675</v>
      </c>
      <c r="J31" s="27" t="s">
        <v>676</v>
      </c>
      <c r="K31" s="27" t="s">
        <v>677</v>
      </c>
      <c r="L31" s="27" t="s">
        <v>678</v>
      </c>
      <c r="M31" s="27" t="s">
        <v>679</v>
      </c>
    </row>
    <row r="32" spans="1:64" x14ac:dyDescent="0.2">
      <c r="A32" s="27" t="s">
        <v>290</v>
      </c>
      <c r="B32" s="28">
        <f>Ficha!N22</f>
        <v>0</v>
      </c>
      <c r="H32" s="27" t="s">
        <v>266</v>
      </c>
      <c r="I32" s="27">
        <v>20</v>
      </c>
      <c r="J32" s="27">
        <v>40</v>
      </c>
      <c r="K32" s="27">
        <v>60</v>
      </c>
      <c r="L32" s="27">
        <v>80</v>
      </c>
      <c r="M32" s="27">
        <v>100</v>
      </c>
    </row>
    <row r="33" spans="1:8" x14ac:dyDescent="0.2">
      <c r="A33" s="27" t="s">
        <v>294</v>
      </c>
      <c r="B33" s="68" t="s">
        <v>151</v>
      </c>
    </row>
    <row r="34" spans="1:8" x14ac:dyDescent="0.2">
      <c r="A34" s="27" t="s">
        <v>292</v>
      </c>
      <c r="B34" s="28">
        <f>Ficha!N22/2</f>
        <v>0</v>
      </c>
    </row>
    <row r="35" spans="1:8" x14ac:dyDescent="0.2">
      <c r="A35" s="27" t="s">
        <v>287</v>
      </c>
      <c r="B35" s="68" t="s">
        <v>151</v>
      </c>
    </row>
    <row r="36" spans="1:8" x14ac:dyDescent="0.2">
      <c r="A36" s="27" t="s">
        <v>261</v>
      </c>
      <c r="B36" s="28">
        <f>(Ficha!N23+Ficha!N22)/2</f>
        <v>0</v>
      </c>
      <c r="H36" s="27" t="s">
        <v>735</v>
      </c>
    </row>
    <row r="37" spans="1:8" x14ac:dyDescent="0.2">
      <c r="A37" s="27" t="s">
        <v>265</v>
      </c>
      <c r="B37" s="28">
        <f>Ficha!N22/2</f>
        <v>0</v>
      </c>
      <c r="H37" s="27">
        <v>1</v>
      </c>
    </row>
    <row r="38" spans="1:8" x14ac:dyDescent="0.2">
      <c r="A38" s="27" t="s">
        <v>295</v>
      </c>
      <c r="B38" s="28">
        <f>Ficha!N22/2</f>
        <v>0</v>
      </c>
      <c r="H38" s="27">
        <v>2</v>
      </c>
    </row>
    <row r="39" spans="1:8" x14ac:dyDescent="0.2">
      <c r="A39" s="27" t="s">
        <v>259</v>
      </c>
      <c r="B39" s="28">
        <f>Ficha!N25/2</f>
        <v>0</v>
      </c>
      <c r="H39" s="27">
        <v>3</v>
      </c>
    </row>
    <row r="40" spans="1:8" x14ac:dyDescent="0.2">
      <c r="A40" s="27" t="s">
        <v>262</v>
      </c>
      <c r="B40" s="28">
        <f>Ficha!N25/2</f>
        <v>0</v>
      </c>
      <c r="H40" s="27">
        <v>4</v>
      </c>
    </row>
    <row r="41" spans="1:8" x14ac:dyDescent="0.2">
      <c r="A41" s="27" t="s">
        <v>273</v>
      </c>
      <c r="B41" s="68" t="s">
        <v>151</v>
      </c>
    </row>
    <row r="42" spans="1:8" x14ac:dyDescent="0.2">
      <c r="A42" s="27" t="s">
        <v>275</v>
      </c>
      <c r="B42" s="68" t="s">
        <v>151</v>
      </c>
    </row>
    <row r="43" spans="1:8" x14ac:dyDescent="0.2">
      <c r="A43" s="27" t="s">
        <v>270</v>
      </c>
      <c r="B43" s="68" t="s">
        <v>151</v>
      </c>
    </row>
    <row r="44" spans="1:8" x14ac:dyDescent="0.2">
      <c r="A44" s="27" t="s">
        <v>278</v>
      </c>
      <c r="B44" s="68" t="s">
        <v>151</v>
      </c>
    </row>
    <row r="45" spans="1:8" x14ac:dyDescent="0.2">
      <c r="A45" s="27" t="s">
        <v>280</v>
      </c>
      <c r="B45" s="68" t="s">
        <v>151</v>
      </c>
    </row>
    <row r="46" spans="1:8" x14ac:dyDescent="0.2">
      <c r="A46" s="27" t="s">
        <v>276</v>
      </c>
      <c r="B46" s="68" t="s">
        <v>151</v>
      </c>
    </row>
    <row r="47" spans="1:8" x14ac:dyDescent="0.2">
      <c r="A47" s="27" t="s">
        <v>266</v>
      </c>
      <c r="B47" s="68" t="s">
        <v>151</v>
      </c>
    </row>
    <row r="48" spans="1:8" x14ac:dyDescent="0.2">
      <c r="A48" s="27" t="s">
        <v>282</v>
      </c>
      <c r="B48" s="68" t="s">
        <v>151</v>
      </c>
    </row>
    <row r="49" spans="1:2" x14ac:dyDescent="0.2">
      <c r="A49" s="27" t="s">
        <v>274</v>
      </c>
      <c r="B49" s="68" t="s">
        <v>151</v>
      </c>
    </row>
    <row r="50" spans="1:2" x14ac:dyDescent="0.2">
      <c r="A50" s="27" t="s">
        <v>256</v>
      </c>
      <c r="B50" s="28">
        <f>(Ficha!N24+Ficha!N27)/2</f>
        <v>0</v>
      </c>
    </row>
    <row r="51" spans="1:2" x14ac:dyDescent="0.2">
      <c r="A51" s="27" t="s">
        <v>271</v>
      </c>
      <c r="B51" s="28">
        <f>Ficha!N25/2</f>
        <v>0</v>
      </c>
    </row>
    <row r="52" spans="1:2" x14ac:dyDescent="0.2">
      <c r="A52" s="27" t="s">
        <v>260</v>
      </c>
      <c r="B52" s="28">
        <f>Ficha!N25</f>
        <v>0</v>
      </c>
    </row>
    <row r="53" spans="1:2" x14ac:dyDescent="0.2">
      <c r="A53" s="27" t="s">
        <v>279</v>
      </c>
      <c r="B53" s="28">
        <f>(Ficha!N25+Ficha!N24)/2</f>
        <v>0</v>
      </c>
    </row>
    <row r="54" spans="1:2" x14ac:dyDescent="0.2">
      <c r="A54" s="27" t="s">
        <v>281</v>
      </c>
      <c r="B54" s="28">
        <f>Ficha!N23/2</f>
        <v>0</v>
      </c>
    </row>
    <row r="59" spans="1:2" x14ac:dyDescent="0.2">
      <c r="A59" s="73"/>
    </row>
    <row r="60" spans="1:2" x14ac:dyDescent="0.2">
      <c r="A60" s="73"/>
    </row>
    <row r="61" spans="1:2" ht="6" customHeight="1" x14ac:dyDescent="0.2">
      <c r="A61" s="73"/>
    </row>
    <row r="62" spans="1:2" x14ac:dyDescent="0.2">
      <c r="A62" s="73"/>
    </row>
    <row r="63" spans="1:2" x14ac:dyDescent="0.2">
      <c r="A63" s="73"/>
    </row>
    <row r="64" spans="1:2" x14ac:dyDescent="0.2">
      <c r="A64" s="73"/>
    </row>
    <row r="65" spans="1:1" x14ac:dyDescent="0.2">
      <c r="A65" s="73"/>
    </row>
    <row r="66" spans="1:1" x14ac:dyDescent="0.2">
      <c r="A66" s="73"/>
    </row>
    <row r="67" spans="1:1" x14ac:dyDescent="0.2">
      <c r="A67" s="73"/>
    </row>
    <row r="68" spans="1:1" x14ac:dyDescent="0.2">
      <c r="A68" s="73"/>
    </row>
    <row r="69" spans="1:1" x14ac:dyDescent="0.2">
      <c r="A69" s="73"/>
    </row>
    <row r="70" spans="1:1" x14ac:dyDescent="0.2">
      <c r="A70" s="73"/>
    </row>
  </sheetData>
  <mergeCells count="4">
    <mergeCell ref="I30:M30"/>
    <mergeCell ref="D8:E8"/>
    <mergeCell ref="D9:E9"/>
    <mergeCell ref="D10:E10"/>
  </mergeCells>
  <pageMargins left="0.7" right="0.7" top="0.75" bottom="0.75" header="0.3" footer="0.3"/>
  <ignoredErrors>
    <ignoredError sqref="B28 B31" formula="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C702C1-4193-4001-B408-885753187310}">
  <dimension ref="A1:G25"/>
  <sheetViews>
    <sheetView workbookViewId="0">
      <selection activeCell="E24" sqref="E24"/>
    </sheetView>
  </sheetViews>
  <sheetFormatPr baseColWidth="10" defaultRowHeight="15" x14ac:dyDescent="0.25"/>
  <cols>
    <col min="1" max="1" width="27.42578125" bestFit="1" customWidth="1"/>
    <col min="2" max="2" width="15.28515625" bestFit="1" customWidth="1"/>
    <col min="3" max="3" width="19.28515625" bestFit="1" customWidth="1"/>
  </cols>
  <sheetData>
    <row r="1" spans="1:7" x14ac:dyDescent="0.25">
      <c r="A1" t="s">
        <v>339</v>
      </c>
      <c r="B1" t="s">
        <v>586</v>
      </c>
      <c r="C1" t="s">
        <v>587</v>
      </c>
      <c r="G1" t="s">
        <v>113</v>
      </c>
    </row>
    <row r="2" spans="1:7" x14ac:dyDescent="0.25">
      <c r="A2" t="s">
        <v>313</v>
      </c>
      <c r="B2">
        <v>35</v>
      </c>
      <c r="C2">
        <f>IFERROR(VLOOKUP(A2,Ficha!$U$14:$AG$27,11,FALSE)*B2,0)</f>
        <v>0</v>
      </c>
      <c r="G2">
        <v>1</v>
      </c>
    </row>
    <row r="3" spans="1:7" x14ac:dyDescent="0.25">
      <c r="A3" t="s">
        <v>314</v>
      </c>
      <c r="B3">
        <v>75</v>
      </c>
      <c r="C3">
        <f>IFERROR(VLOOKUP(A3,Ficha!$U$14:$AG$27,11,FALSE)*B3,0)</f>
        <v>0</v>
      </c>
      <c r="G3">
        <v>2</v>
      </c>
    </row>
    <row r="4" spans="1:7" x14ac:dyDescent="0.25">
      <c r="A4" t="s">
        <v>315</v>
      </c>
      <c r="B4">
        <v>100</v>
      </c>
      <c r="C4">
        <f>IFERROR(VLOOKUP(A4,Ficha!$U$14:$AG$27,11,FALSE)*B4,0)</f>
        <v>0</v>
      </c>
      <c r="G4">
        <v>3</v>
      </c>
    </row>
    <row r="5" spans="1:7" x14ac:dyDescent="0.25">
      <c r="A5" t="s">
        <v>316</v>
      </c>
      <c r="B5">
        <v>90</v>
      </c>
      <c r="C5">
        <f>IFERROR(VLOOKUP(A5,Ficha!$U$14:$AG$27,11,FALSE)*B5,0)</f>
        <v>0</v>
      </c>
      <c r="G5">
        <v>4</v>
      </c>
    </row>
    <row r="6" spans="1:7" x14ac:dyDescent="0.25">
      <c r="A6" t="s">
        <v>317</v>
      </c>
      <c r="B6">
        <v>65</v>
      </c>
      <c r="C6">
        <f>IFERROR(VLOOKUP(A6,Ficha!$U$14:$AG$27,11,FALSE)*B6,0)</f>
        <v>0</v>
      </c>
      <c r="G6">
        <v>5</v>
      </c>
    </row>
    <row r="7" spans="1:7" x14ac:dyDescent="0.25">
      <c r="A7" t="s">
        <v>318</v>
      </c>
      <c r="B7">
        <v>25</v>
      </c>
      <c r="C7">
        <f>IFERROR(VLOOKUP(A7,Ficha!$U$14:$AG$27,11,FALSE)*B7,0)</f>
        <v>0</v>
      </c>
      <c r="G7">
        <v>6</v>
      </c>
    </row>
    <row r="8" spans="1:7" x14ac:dyDescent="0.25">
      <c r="A8" t="s">
        <v>319</v>
      </c>
      <c r="B8">
        <v>50</v>
      </c>
      <c r="C8">
        <f>IFERROR(VLOOKUP(A8,Ficha!$U$14:$AG$27,11,FALSE)*B8,0)</f>
        <v>0</v>
      </c>
      <c r="G8">
        <v>7</v>
      </c>
    </row>
    <row r="9" spans="1:7" x14ac:dyDescent="0.25">
      <c r="A9" t="s">
        <v>320</v>
      </c>
      <c r="B9">
        <v>50</v>
      </c>
      <c r="C9">
        <f>IFERROR(VLOOKUP(A9,Ficha!$U$14:$AG$27,11,FALSE)*B9,0)</f>
        <v>0</v>
      </c>
      <c r="G9">
        <v>8</v>
      </c>
    </row>
    <row r="10" spans="1:7" x14ac:dyDescent="0.25">
      <c r="A10" t="s">
        <v>321</v>
      </c>
      <c r="B10">
        <v>300</v>
      </c>
      <c r="C10">
        <f>IFERROR(VLOOKUP(A10,Ficha!$U$14:$AG$27,11,FALSE)*B10,0)</f>
        <v>0</v>
      </c>
      <c r="G10">
        <v>9</v>
      </c>
    </row>
    <row r="11" spans="1:7" x14ac:dyDescent="0.25">
      <c r="A11" t="s">
        <v>322</v>
      </c>
      <c r="B11">
        <v>25</v>
      </c>
      <c r="C11">
        <f>IFERROR(VLOOKUP(A11,Ficha!$U$14:$AG$27,11,FALSE)*B11,0)</f>
        <v>0</v>
      </c>
      <c r="G11">
        <v>10</v>
      </c>
    </row>
    <row r="12" spans="1:7" x14ac:dyDescent="0.25">
      <c r="A12" t="s">
        <v>323</v>
      </c>
      <c r="B12">
        <v>35</v>
      </c>
      <c r="C12">
        <f>IFERROR(VLOOKUP(A12,Ficha!$U$14:$AG$27,11,FALSE)*B12,0)</f>
        <v>0</v>
      </c>
      <c r="G12" t="s">
        <v>324</v>
      </c>
    </row>
    <row r="13" spans="1:7" x14ac:dyDescent="0.25">
      <c r="A13" t="s">
        <v>325</v>
      </c>
      <c r="B13">
        <v>50</v>
      </c>
      <c r="C13">
        <f>IFERROR(VLOOKUP(A13,Ficha!$U$14:$AG$27,11,FALSE)*B13,0)</f>
        <v>0</v>
      </c>
    </row>
    <row r="14" spans="1:7" x14ac:dyDescent="0.25">
      <c r="A14" t="s">
        <v>326</v>
      </c>
      <c r="B14">
        <v>35</v>
      </c>
      <c r="C14">
        <f>IFERROR(VLOOKUP(A14,Ficha!$U$14:$AG$27,11,FALSE)*B14,0)</f>
        <v>0</v>
      </c>
    </row>
    <row r="15" spans="1:7" x14ac:dyDescent="0.25">
      <c r="A15" t="s">
        <v>327</v>
      </c>
      <c r="B15">
        <v>35</v>
      </c>
      <c r="C15">
        <f>IFERROR(VLOOKUP(A15,Ficha!$U$14:$AG$27,11,FALSE)*B15,0)</f>
        <v>0</v>
      </c>
    </row>
    <row r="16" spans="1:7" x14ac:dyDescent="0.25">
      <c r="A16" t="s">
        <v>328</v>
      </c>
      <c r="B16">
        <v>25</v>
      </c>
      <c r="C16">
        <f>IFERROR(VLOOKUP(A16,Ficha!$U$14:$AG$27,11,FALSE)*B16,0)</f>
        <v>0</v>
      </c>
    </row>
    <row r="17" spans="1:3" x14ac:dyDescent="0.25">
      <c r="A17" t="s">
        <v>329</v>
      </c>
      <c r="B17">
        <v>85</v>
      </c>
      <c r="C17">
        <f>IFERROR(VLOOKUP(A17,Ficha!$U$14:$AG$27,11,FALSE)*B17,0)</f>
        <v>0</v>
      </c>
    </row>
    <row r="18" spans="1:3" x14ac:dyDescent="0.25">
      <c r="A18" t="s">
        <v>330</v>
      </c>
      <c r="B18">
        <v>35</v>
      </c>
      <c r="C18">
        <f>IFERROR(VLOOKUP(A18,Ficha!$U$14:$AG$27,11,FALSE)*B18,0)</f>
        <v>0</v>
      </c>
    </row>
    <row r="19" spans="1:3" x14ac:dyDescent="0.25">
      <c r="A19" t="s">
        <v>338</v>
      </c>
      <c r="B19">
        <v>80</v>
      </c>
      <c r="C19">
        <f>IFERROR(VLOOKUP(A19,Ficha!$U$14:$AG$27,11,FALSE)*B19,0)</f>
        <v>0</v>
      </c>
    </row>
    <row r="20" spans="1:3" x14ac:dyDescent="0.25">
      <c r="A20" t="s">
        <v>331</v>
      </c>
      <c r="B20">
        <v>25</v>
      </c>
      <c r="C20">
        <f>IFERROR(VLOOKUP(A20,Ficha!$U$14:$AG$27,11,FALSE)*B20,0)</f>
        <v>0</v>
      </c>
    </row>
    <row r="21" spans="1:3" x14ac:dyDescent="0.25">
      <c r="A21" t="s">
        <v>332</v>
      </c>
      <c r="B21">
        <v>75</v>
      </c>
      <c r="C21">
        <f>IFERROR(VLOOKUP(A21,Ficha!$U$14:$AG$27,11,FALSE)*B21,0)</f>
        <v>0</v>
      </c>
    </row>
    <row r="22" spans="1:3" x14ac:dyDescent="0.25">
      <c r="A22" t="s">
        <v>333</v>
      </c>
      <c r="B22">
        <v>35</v>
      </c>
      <c r="C22">
        <f>IFERROR(VLOOKUP(A22,Ficha!$U$14:$AG$27,11,FALSE)*B22,0)</f>
        <v>0</v>
      </c>
    </row>
    <row r="23" spans="1:3" x14ac:dyDescent="0.25">
      <c r="A23" t="s">
        <v>334</v>
      </c>
      <c r="B23">
        <v>75</v>
      </c>
      <c r="C23">
        <f>IFERROR(VLOOKUP(A23,Ficha!$U$14:$AG$27,11,FALSE)*B23,0)</f>
        <v>0</v>
      </c>
    </row>
    <row r="24" spans="1:3" x14ac:dyDescent="0.25">
      <c r="A24" t="s">
        <v>335</v>
      </c>
      <c r="B24">
        <v>100</v>
      </c>
      <c r="C24">
        <f>IFERROR(VLOOKUP(A24,Ficha!$U$14:$AG$27,11,FALSE)*B24,0)</f>
        <v>0</v>
      </c>
    </row>
    <row r="25" spans="1:3" x14ac:dyDescent="0.25">
      <c r="A25" t="s">
        <v>336</v>
      </c>
      <c r="B25">
        <v>75</v>
      </c>
      <c r="C25">
        <f>IFERROR(VLOOKUP(A25,Ficha!$U$14:$AG$27,11,FALSE)*B25,0)</f>
        <v>0</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CBB8EB-2E03-409A-B9A2-8658ADE7CF3A}">
  <dimension ref="A1:AG50"/>
  <sheetViews>
    <sheetView topLeftCell="A4" workbookViewId="0">
      <selection activeCell="J41" sqref="J41"/>
    </sheetView>
  </sheetViews>
  <sheetFormatPr baseColWidth="10" defaultRowHeight="12" x14ac:dyDescent="0.2"/>
  <cols>
    <col min="1" max="1" width="27.28515625" style="27" bestFit="1" customWidth="1"/>
    <col min="2" max="2" width="13" style="27" bestFit="1" customWidth="1"/>
    <col min="3" max="3" width="18.28515625" style="27" bestFit="1" customWidth="1"/>
    <col min="4" max="4" width="13.5703125" style="27" bestFit="1" customWidth="1"/>
    <col min="5" max="5" width="11.7109375" style="27" bestFit="1" customWidth="1"/>
    <col min="6" max="6" width="8.85546875" style="27" bestFit="1" customWidth="1"/>
    <col min="7" max="7" width="16.85546875" style="27" bestFit="1" customWidth="1"/>
    <col min="8" max="8" width="17.140625" style="27" bestFit="1" customWidth="1"/>
    <col min="9" max="9" width="27.28515625" style="27" bestFit="1" customWidth="1"/>
    <col min="10" max="10" width="22.7109375" style="27" bestFit="1" customWidth="1"/>
    <col min="11" max="11" width="18.28515625" style="27" bestFit="1" customWidth="1"/>
    <col min="12" max="12" width="15.85546875" style="27" bestFit="1" customWidth="1"/>
    <col min="13" max="13" width="19.42578125" style="27" bestFit="1" customWidth="1"/>
    <col min="14" max="14" width="15.140625" style="27" bestFit="1" customWidth="1"/>
    <col min="15" max="15" width="19.28515625" style="27" bestFit="1" customWidth="1"/>
    <col min="16" max="16" width="20.85546875" style="27" bestFit="1" customWidth="1"/>
    <col min="17" max="17" width="19" style="27" bestFit="1" customWidth="1"/>
    <col min="18" max="18" width="16.7109375" style="27" bestFit="1" customWidth="1"/>
    <col min="19" max="19" width="11.7109375" style="27" bestFit="1" customWidth="1"/>
    <col min="20" max="20" width="10.140625" style="27" bestFit="1" customWidth="1"/>
    <col min="21" max="21" width="18" style="27" bestFit="1" customWidth="1"/>
    <col min="22" max="22" width="18.140625" style="27" bestFit="1" customWidth="1"/>
    <col min="23" max="23" width="26.7109375" style="27" bestFit="1" customWidth="1"/>
    <col min="24" max="24" width="23" style="27" bestFit="1" customWidth="1"/>
    <col min="25" max="25" width="8.140625" style="27" bestFit="1" customWidth="1"/>
    <col min="26" max="26" width="17" style="27" bestFit="1" customWidth="1"/>
    <col min="27" max="27" width="11.140625" style="27" bestFit="1" customWidth="1"/>
    <col min="28" max="16384" width="11.42578125" style="27"/>
  </cols>
  <sheetData>
    <row r="1" spans="1:33" x14ac:dyDescent="0.2">
      <c r="A1" s="27" t="s">
        <v>341</v>
      </c>
    </row>
    <row r="2" spans="1:33" x14ac:dyDescent="0.2">
      <c r="A2" s="27" t="s">
        <v>205</v>
      </c>
      <c r="B2" s="27" t="s">
        <v>351</v>
      </c>
      <c r="C2" s="27" t="s">
        <v>352</v>
      </c>
      <c r="D2" s="27" t="s">
        <v>353</v>
      </c>
      <c r="E2" s="27" t="s">
        <v>354</v>
      </c>
      <c r="F2" s="27" t="s">
        <v>355</v>
      </c>
      <c r="G2" s="27" t="s">
        <v>356</v>
      </c>
      <c r="H2" s="27" t="s">
        <v>357</v>
      </c>
      <c r="I2" s="27" t="s">
        <v>358</v>
      </c>
      <c r="J2" s="27" t="s">
        <v>359</v>
      </c>
      <c r="K2" s="27" t="s">
        <v>360</v>
      </c>
      <c r="L2" s="27" t="s">
        <v>361</v>
      </c>
      <c r="M2" s="27" t="s">
        <v>362</v>
      </c>
      <c r="N2" s="27" t="s">
        <v>363</v>
      </c>
      <c r="O2" s="27" t="s">
        <v>364</v>
      </c>
      <c r="P2" s="27" t="s">
        <v>365</v>
      </c>
      <c r="Q2" s="27" t="s">
        <v>366</v>
      </c>
      <c r="R2" s="27" t="s">
        <v>367</v>
      </c>
      <c r="S2" s="27" t="s">
        <v>368</v>
      </c>
      <c r="T2" s="27" t="s">
        <v>369</v>
      </c>
      <c r="U2" s="27" t="s">
        <v>370</v>
      </c>
      <c r="V2" s="27" t="s">
        <v>371</v>
      </c>
      <c r="W2" s="27" t="s">
        <v>372</v>
      </c>
      <c r="X2" s="27" t="s">
        <v>373</v>
      </c>
      <c r="Y2" s="27" t="s">
        <v>374</v>
      </c>
      <c r="Z2" s="27" t="s">
        <v>375</v>
      </c>
      <c r="AA2" s="27" t="s">
        <v>376</v>
      </c>
    </row>
    <row r="3" spans="1:33" x14ac:dyDescent="0.2">
      <c r="A3" s="27" t="s">
        <v>207</v>
      </c>
      <c r="B3" s="27" t="s">
        <v>351</v>
      </c>
      <c r="C3" s="27" t="s">
        <v>352</v>
      </c>
      <c r="D3" s="27" t="s">
        <v>353</v>
      </c>
      <c r="E3" s="27" t="s">
        <v>354</v>
      </c>
      <c r="F3" s="27" t="s">
        <v>355</v>
      </c>
      <c r="G3" s="27" t="s">
        <v>356</v>
      </c>
      <c r="H3" s="27" t="s">
        <v>357</v>
      </c>
      <c r="I3" s="27" t="s">
        <v>358</v>
      </c>
      <c r="J3" s="27" t="s">
        <v>359</v>
      </c>
      <c r="K3" s="27" t="s">
        <v>360</v>
      </c>
      <c r="L3" s="27" t="s">
        <v>361</v>
      </c>
      <c r="M3" s="27" t="s">
        <v>362</v>
      </c>
      <c r="N3" s="27" t="s">
        <v>363</v>
      </c>
      <c r="O3" s="27" t="s">
        <v>364</v>
      </c>
      <c r="P3" s="27" t="s">
        <v>365</v>
      </c>
      <c r="Q3" s="27" t="s">
        <v>366</v>
      </c>
      <c r="R3" s="27" t="s">
        <v>367</v>
      </c>
      <c r="S3" s="27" t="s">
        <v>368</v>
      </c>
      <c r="T3" s="27" t="s">
        <v>369</v>
      </c>
      <c r="U3" s="27" t="s">
        <v>370</v>
      </c>
      <c r="V3" s="27" t="s">
        <v>371</v>
      </c>
      <c r="W3" s="27" t="s">
        <v>372</v>
      </c>
      <c r="X3" s="27" t="s">
        <v>373</v>
      </c>
      <c r="Y3" s="27" t="s">
        <v>374</v>
      </c>
      <c r="Z3" s="27" t="s">
        <v>375</v>
      </c>
      <c r="AA3" s="27" t="s">
        <v>376</v>
      </c>
    </row>
    <row r="4" spans="1:33" x14ac:dyDescent="0.2">
      <c r="A4" s="27" t="s">
        <v>297</v>
      </c>
      <c r="B4" s="27" t="s">
        <v>351</v>
      </c>
      <c r="C4" s="27" t="s">
        <v>352</v>
      </c>
      <c r="D4" s="27" t="s">
        <v>353</v>
      </c>
      <c r="E4" s="27" t="s">
        <v>354</v>
      </c>
      <c r="F4" s="27" t="s">
        <v>355</v>
      </c>
      <c r="G4" s="27" t="s">
        <v>356</v>
      </c>
      <c r="H4" s="27" t="s">
        <v>357</v>
      </c>
      <c r="I4" s="27" t="s">
        <v>358</v>
      </c>
      <c r="J4" s="27" t="s">
        <v>359</v>
      </c>
      <c r="K4" s="27" t="s">
        <v>360</v>
      </c>
      <c r="L4" s="27" t="s">
        <v>361</v>
      </c>
      <c r="M4" s="27" t="s">
        <v>362</v>
      </c>
      <c r="N4" s="27" t="s">
        <v>363</v>
      </c>
      <c r="O4" s="27" t="s">
        <v>364</v>
      </c>
      <c r="P4" s="27" t="s">
        <v>365</v>
      </c>
      <c r="Q4" s="27" t="s">
        <v>366</v>
      </c>
      <c r="R4" s="27" t="s">
        <v>367</v>
      </c>
      <c r="S4" s="27" t="s">
        <v>368</v>
      </c>
      <c r="T4" s="27" t="s">
        <v>369</v>
      </c>
      <c r="U4" s="27" t="s">
        <v>370</v>
      </c>
      <c r="V4" s="27" t="s">
        <v>371</v>
      </c>
      <c r="W4" s="27" t="s">
        <v>372</v>
      </c>
      <c r="X4" s="27" t="s">
        <v>373</v>
      </c>
      <c r="Y4" s="27" t="s">
        <v>374</v>
      </c>
      <c r="Z4" s="27" t="s">
        <v>375</v>
      </c>
      <c r="AA4" s="27" t="s">
        <v>376</v>
      </c>
    </row>
    <row r="5" spans="1:33" x14ac:dyDescent="0.2">
      <c r="A5" s="27" t="s">
        <v>208</v>
      </c>
      <c r="B5" s="27" t="s">
        <v>351</v>
      </c>
      <c r="C5" s="27" t="s">
        <v>352</v>
      </c>
      <c r="D5" s="27" t="s">
        <v>353</v>
      </c>
      <c r="E5" s="27" t="s">
        <v>354</v>
      </c>
      <c r="F5" s="27" t="s">
        <v>355</v>
      </c>
      <c r="G5" s="27" t="s">
        <v>356</v>
      </c>
      <c r="H5" s="27" t="s">
        <v>357</v>
      </c>
      <c r="I5" s="27" t="s">
        <v>358</v>
      </c>
      <c r="J5" s="27" t="s">
        <v>359</v>
      </c>
      <c r="K5" s="27" t="s">
        <v>360</v>
      </c>
      <c r="L5" s="27" t="s">
        <v>361</v>
      </c>
      <c r="M5" s="27" t="s">
        <v>362</v>
      </c>
      <c r="N5" s="27" t="s">
        <v>363</v>
      </c>
      <c r="O5" s="27" t="s">
        <v>364</v>
      </c>
      <c r="P5" s="27" t="s">
        <v>365</v>
      </c>
      <c r="Q5" s="27" t="s">
        <v>366</v>
      </c>
      <c r="R5" s="27" t="s">
        <v>367</v>
      </c>
      <c r="S5" s="27" t="s">
        <v>368</v>
      </c>
      <c r="T5" s="27" t="s">
        <v>369</v>
      </c>
      <c r="U5" s="27" t="s">
        <v>370</v>
      </c>
      <c r="V5" s="27" t="s">
        <v>371</v>
      </c>
      <c r="W5" s="27" t="s">
        <v>372</v>
      </c>
      <c r="X5" s="27" t="s">
        <v>373</v>
      </c>
      <c r="Y5" s="27" t="s">
        <v>374</v>
      </c>
      <c r="Z5" s="27" t="s">
        <v>375</v>
      </c>
      <c r="AA5" s="27" t="s">
        <v>376</v>
      </c>
    </row>
    <row r="6" spans="1:33" x14ac:dyDescent="0.2">
      <c r="A6" s="27" t="s">
        <v>296</v>
      </c>
      <c r="B6" s="27" t="s">
        <v>350</v>
      </c>
    </row>
    <row r="7" spans="1:33" x14ac:dyDescent="0.2">
      <c r="A7" s="27" t="s">
        <v>206</v>
      </c>
      <c r="B7" s="27" t="s">
        <v>351</v>
      </c>
      <c r="C7" s="27" t="s">
        <v>352</v>
      </c>
      <c r="D7" s="27" t="s">
        <v>353</v>
      </c>
      <c r="E7" s="27" t="s">
        <v>354</v>
      </c>
      <c r="F7" s="27" t="s">
        <v>355</v>
      </c>
      <c r="G7" s="27" t="s">
        <v>356</v>
      </c>
      <c r="H7" s="27" t="s">
        <v>357</v>
      </c>
      <c r="I7" s="27" t="s">
        <v>358</v>
      </c>
      <c r="J7" s="27" t="s">
        <v>359</v>
      </c>
      <c r="K7" s="27" t="s">
        <v>360</v>
      </c>
      <c r="L7" s="27" t="s">
        <v>361</v>
      </c>
      <c r="M7" s="27" t="s">
        <v>362</v>
      </c>
      <c r="N7" s="27" t="s">
        <v>363</v>
      </c>
      <c r="O7" s="27" t="s">
        <v>364</v>
      </c>
      <c r="P7" s="27" t="s">
        <v>365</v>
      </c>
      <c r="Q7" s="27" t="s">
        <v>366</v>
      </c>
      <c r="R7" s="27" t="s">
        <v>367</v>
      </c>
      <c r="S7" s="27" t="s">
        <v>368</v>
      </c>
      <c r="T7" s="27" t="s">
        <v>369</v>
      </c>
      <c r="U7" s="27" t="s">
        <v>370</v>
      </c>
      <c r="V7" s="27" t="s">
        <v>371</v>
      </c>
      <c r="W7" s="27" t="s">
        <v>372</v>
      </c>
      <c r="X7" s="27" t="s">
        <v>373</v>
      </c>
      <c r="Y7" s="27" t="s">
        <v>374</v>
      </c>
      <c r="Z7" s="27" t="s">
        <v>375</v>
      </c>
      <c r="AA7" s="27" t="s">
        <v>376</v>
      </c>
      <c r="AB7" s="27" t="s">
        <v>377</v>
      </c>
      <c r="AC7" s="27" t="s">
        <v>378</v>
      </c>
      <c r="AD7" s="27" t="s">
        <v>379</v>
      </c>
      <c r="AE7" s="27" t="s">
        <v>380</v>
      </c>
      <c r="AF7" s="27" t="s">
        <v>381</v>
      </c>
      <c r="AG7" s="27" t="s">
        <v>382</v>
      </c>
    </row>
    <row r="9" spans="1:33" x14ac:dyDescent="0.2">
      <c r="A9" s="27" t="s">
        <v>342</v>
      </c>
      <c r="B9" s="27" t="s">
        <v>385</v>
      </c>
    </row>
    <row r="10" spans="1:33" x14ac:dyDescent="0.2">
      <c r="A10" s="27" t="s">
        <v>343</v>
      </c>
      <c r="B10" s="27" t="s">
        <v>386</v>
      </c>
    </row>
    <row r="11" spans="1:33" x14ac:dyDescent="0.2">
      <c r="A11" s="27" t="s">
        <v>344</v>
      </c>
      <c r="B11" s="27" t="s">
        <v>387</v>
      </c>
    </row>
    <row r="12" spans="1:33" x14ac:dyDescent="0.2">
      <c r="A12" s="27" t="s">
        <v>345</v>
      </c>
      <c r="B12" s="27" t="s">
        <v>388</v>
      </c>
    </row>
    <row r="13" spans="1:33" x14ac:dyDescent="0.2">
      <c r="A13" s="27" t="s">
        <v>346</v>
      </c>
      <c r="B13" s="27" t="s">
        <v>389</v>
      </c>
    </row>
    <row r="14" spans="1:33" x14ac:dyDescent="0.2">
      <c r="A14" s="27" t="s">
        <v>347</v>
      </c>
      <c r="B14" s="27" t="s">
        <v>390</v>
      </c>
    </row>
    <row r="15" spans="1:33" x14ac:dyDescent="0.2">
      <c r="A15" s="27" t="s">
        <v>348</v>
      </c>
      <c r="B15" s="27" t="s">
        <v>391</v>
      </c>
    </row>
    <row r="16" spans="1:33" x14ac:dyDescent="0.2">
      <c r="A16" s="27" t="s">
        <v>349</v>
      </c>
      <c r="B16" s="27" t="s">
        <v>392</v>
      </c>
    </row>
    <row r="18" spans="1:10" x14ac:dyDescent="0.2">
      <c r="I18" s="27" t="s">
        <v>763</v>
      </c>
      <c r="J18" s="27" t="s">
        <v>522</v>
      </c>
    </row>
    <row r="19" spans="1:10" x14ac:dyDescent="0.2">
      <c r="A19" s="27" t="s">
        <v>759</v>
      </c>
      <c r="B19" s="27" t="s">
        <v>118</v>
      </c>
      <c r="C19" s="27" t="s">
        <v>120</v>
      </c>
      <c r="D19" s="27" t="s">
        <v>121</v>
      </c>
      <c r="E19" s="27" t="s">
        <v>127</v>
      </c>
      <c r="F19" s="27" t="s">
        <v>124</v>
      </c>
      <c r="I19" s="27" t="s">
        <v>351</v>
      </c>
      <c r="J19" s="27">
        <v>2</v>
      </c>
    </row>
    <row r="20" spans="1:10" x14ac:dyDescent="0.2">
      <c r="A20" s="27" t="s">
        <v>377</v>
      </c>
      <c r="I20" s="27" t="s">
        <v>352</v>
      </c>
      <c r="J20" s="27">
        <v>4</v>
      </c>
    </row>
    <row r="21" spans="1:10" x14ac:dyDescent="0.2">
      <c r="A21" s="27" t="s">
        <v>378</v>
      </c>
      <c r="B21" s="27">
        <v>105</v>
      </c>
      <c r="C21" s="27">
        <v>105</v>
      </c>
      <c r="I21" s="27" t="s">
        <v>353</v>
      </c>
      <c r="J21" s="27">
        <v>1</v>
      </c>
    </row>
    <row r="22" spans="1:10" x14ac:dyDescent="0.2">
      <c r="A22" s="27" t="s">
        <v>379</v>
      </c>
      <c r="B22" s="27">
        <v>110</v>
      </c>
      <c r="C22" s="27">
        <v>110</v>
      </c>
      <c r="I22" s="27" t="s">
        <v>354</v>
      </c>
      <c r="J22" s="27">
        <v>3</v>
      </c>
    </row>
    <row r="23" spans="1:10" x14ac:dyDescent="0.2">
      <c r="A23" s="27" t="s">
        <v>380</v>
      </c>
      <c r="D23" s="27">
        <v>110</v>
      </c>
      <c r="I23" s="27" t="s">
        <v>355</v>
      </c>
      <c r="J23" s="27">
        <v>2</v>
      </c>
    </row>
    <row r="24" spans="1:10" x14ac:dyDescent="0.2">
      <c r="A24" s="27" t="s">
        <v>381</v>
      </c>
      <c r="E24" s="27">
        <v>50</v>
      </c>
      <c r="I24" s="27" t="s">
        <v>356</v>
      </c>
      <c r="J24" s="27">
        <v>4</v>
      </c>
    </row>
    <row r="25" spans="1:10" x14ac:dyDescent="0.2">
      <c r="A25" s="27" t="s">
        <v>382</v>
      </c>
      <c r="F25" s="27">
        <v>110</v>
      </c>
      <c r="I25" s="27" t="s">
        <v>357</v>
      </c>
      <c r="J25" s="27">
        <v>4</v>
      </c>
    </row>
    <row r="26" spans="1:10" x14ac:dyDescent="0.2">
      <c r="I26" s="27" t="s">
        <v>358</v>
      </c>
      <c r="J26" s="27">
        <v>0</v>
      </c>
    </row>
    <row r="27" spans="1:10" x14ac:dyDescent="0.2">
      <c r="I27" s="27" t="s">
        <v>359</v>
      </c>
      <c r="J27" s="27">
        <v>1</v>
      </c>
    </row>
    <row r="28" spans="1:10" x14ac:dyDescent="0.2">
      <c r="I28" s="27" t="s">
        <v>360</v>
      </c>
      <c r="J28" s="27">
        <v>4</v>
      </c>
    </row>
    <row r="29" spans="1:10" x14ac:dyDescent="0.2">
      <c r="I29" s="27" t="s">
        <v>361</v>
      </c>
      <c r="J29" s="27">
        <v>1</v>
      </c>
    </row>
    <row r="30" spans="1:10" x14ac:dyDescent="0.2">
      <c r="I30" s="27" t="s">
        <v>362</v>
      </c>
      <c r="J30" s="27">
        <v>0</v>
      </c>
    </row>
    <row r="31" spans="1:10" x14ac:dyDescent="0.2">
      <c r="I31" s="27" t="s">
        <v>363</v>
      </c>
      <c r="J31" s="27">
        <v>2</v>
      </c>
    </row>
    <row r="32" spans="1:10" x14ac:dyDescent="0.2">
      <c r="I32" s="27" t="s">
        <v>364</v>
      </c>
      <c r="J32" s="27">
        <v>4</v>
      </c>
    </row>
    <row r="33" spans="9:10" x14ac:dyDescent="0.2">
      <c r="I33" s="27" t="s">
        <v>365</v>
      </c>
      <c r="J33" s="27">
        <v>6</v>
      </c>
    </row>
    <row r="34" spans="9:10" x14ac:dyDescent="0.2">
      <c r="I34" s="27" t="s">
        <v>366</v>
      </c>
      <c r="J34" s="27">
        <v>8</v>
      </c>
    </row>
    <row r="35" spans="9:10" x14ac:dyDescent="0.2">
      <c r="I35" s="27" t="s">
        <v>367</v>
      </c>
      <c r="J35" s="27">
        <v>2</v>
      </c>
    </row>
    <row r="36" spans="9:10" x14ac:dyDescent="0.2">
      <c r="I36" s="27" t="s">
        <v>368</v>
      </c>
      <c r="J36" s="27">
        <v>1</v>
      </c>
    </row>
    <row r="37" spans="9:10" x14ac:dyDescent="0.2">
      <c r="I37" s="27" t="s">
        <v>369</v>
      </c>
      <c r="J37" s="27">
        <v>1</v>
      </c>
    </row>
    <row r="38" spans="9:10" x14ac:dyDescent="0.2">
      <c r="I38" s="27" t="s">
        <v>370</v>
      </c>
      <c r="J38" s="27">
        <v>2</v>
      </c>
    </row>
    <row r="39" spans="9:10" x14ac:dyDescent="0.2">
      <c r="I39" s="27" t="s">
        <v>371</v>
      </c>
      <c r="J39" s="27">
        <v>2</v>
      </c>
    </row>
    <row r="40" spans="9:10" x14ac:dyDescent="0.2">
      <c r="I40" s="27" t="s">
        <v>372</v>
      </c>
      <c r="J40" s="27">
        <v>1</v>
      </c>
    </row>
    <row r="41" spans="9:10" x14ac:dyDescent="0.2">
      <c r="I41" s="27" t="s">
        <v>373</v>
      </c>
      <c r="J41" s="27">
        <v>0</v>
      </c>
    </row>
    <row r="42" spans="9:10" x14ac:dyDescent="0.2">
      <c r="I42" s="27" t="s">
        <v>374</v>
      </c>
      <c r="J42" s="27">
        <v>1</v>
      </c>
    </row>
    <row r="43" spans="9:10" x14ac:dyDescent="0.2">
      <c r="I43" s="27" t="s">
        <v>375</v>
      </c>
      <c r="J43" s="27">
        <v>2</v>
      </c>
    </row>
    <row r="44" spans="9:10" x14ac:dyDescent="0.2">
      <c r="I44" s="27" t="s">
        <v>376</v>
      </c>
      <c r="J44" s="27">
        <v>1</v>
      </c>
    </row>
    <row r="45" spans="9:10" x14ac:dyDescent="0.2">
      <c r="I45" s="27" t="s">
        <v>377</v>
      </c>
      <c r="J45" s="27">
        <v>5</v>
      </c>
    </row>
    <row r="46" spans="9:10" x14ac:dyDescent="0.2">
      <c r="I46" s="27" t="s">
        <v>378</v>
      </c>
      <c r="J46" s="27">
        <v>4</v>
      </c>
    </row>
    <row r="47" spans="9:10" x14ac:dyDescent="0.2">
      <c r="I47" s="27" t="s">
        <v>379</v>
      </c>
      <c r="J47" s="27">
        <v>4</v>
      </c>
    </row>
    <row r="48" spans="9:10" x14ac:dyDescent="0.2">
      <c r="I48" s="27" t="s">
        <v>380</v>
      </c>
      <c r="J48" s="27">
        <v>6</v>
      </c>
    </row>
    <row r="49" spans="9:10" x14ac:dyDescent="0.2">
      <c r="I49" s="27" t="s">
        <v>381</v>
      </c>
      <c r="J49" s="27">
        <v>3</v>
      </c>
    </row>
    <row r="50" spans="9:10" x14ac:dyDescent="0.2">
      <c r="I50" s="27" t="s">
        <v>382</v>
      </c>
      <c r="J50" s="27">
        <v>5</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05BA26-1F71-4DB4-B289-27434F458305}">
  <dimension ref="A1:P23"/>
  <sheetViews>
    <sheetView workbookViewId="0">
      <selection activeCell="O2" sqref="O2:O9"/>
    </sheetView>
  </sheetViews>
  <sheetFormatPr baseColWidth="10" defaultRowHeight="15" x14ac:dyDescent="0.25"/>
  <cols>
    <col min="1" max="1" width="30.42578125" bestFit="1" customWidth="1"/>
    <col min="2" max="2" width="11.5703125" bestFit="1" customWidth="1"/>
    <col min="3" max="3" width="4.5703125" bestFit="1" customWidth="1"/>
    <col min="4" max="4" width="8.85546875" bestFit="1" customWidth="1"/>
    <col min="5" max="5" width="7.85546875" bestFit="1" customWidth="1"/>
    <col min="6" max="6" width="4.85546875" bestFit="1" customWidth="1"/>
    <col min="7" max="7" width="6.85546875" bestFit="1" customWidth="1"/>
    <col min="8" max="9" width="8.85546875" bestFit="1" customWidth="1"/>
    <col min="10" max="10" width="4.5703125" customWidth="1"/>
    <col min="11" max="11" width="17" bestFit="1" customWidth="1"/>
    <col min="12" max="12" width="12.7109375" bestFit="1" customWidth="1"/>
    <col min="14" max="14" width="3.7109375" customWidth="1"/>
  </cols>
  <sheetData>
    <row r="1" spans="1:16" x14ac:dyDescent="0.25">
      <c r="A1" s="326" t="s">
        <v>466</v>
      </c>
      <c r="B1" s="326"/>
      <c r="C1" s="326"/>
      <c r="D1" s="326"/>
      <c r="E1" s="326"/>
      <c r="F1" s="326"/>
      <c r="G1" s="326"/>
      <c r="H1" s="326"/>
      <c r="I1" s="326"/>
      <c r="K1" s="326" t="s">
        <v>474</v>
      </c>
      <c r="L1" s="326"/>
      <c r="M1" s="326"/>
    </row>
    <row r="2" spans="1:16" x14ac:dyDescent="0.25">
      <c r="A2" t="s">
        <v>394</v>
      </c>
      <c r="B2" t="s">
        <v>395</v>
      </c>
      <c r="C2" t="s">
        <v>396</v>
      </c>
      <c r="D2" t="s">
        <v>397</v>
      </c>
      <c r="E2" t="s">
        <v>398</v>
      </c>
      <c r="F2" t="s">
        <v>399</v>
      </c>
      <c r="G2" t="s">
        <v>400</v>
      </c>
      <c r="H2" t="s">
        <v>401</v>
      </c>
      <c r="I2" t="s">
        <v>402</v>
      </c>
      <c r="K2" t="s">
        <v>469</v>
      </c>
      <c r="L2" t="s">
        <v>472</v>
      </c>
      <c r="M2" t="s">
        <v>473</v>
      </c>
      <c r="O2" t="s">
        <v>470</v>
      </c>
      <c r="P2" t="s">
        <v>471</v>
      </c>
    </row>
    <row r="3" spans="1:16" x14ac:dyDescent="0.25">
      <c r="A3" t="s">
        <v>403</v>
      </c>
      <c r="B3" t="s">
        <v>404</v>
      </c>
      <c r="C3">
        <v>2</v>
      </c>
      <c r="D3">
        <v>15</v>
      </c>
      <c r="E3" t="s">
        <v>405</v>
      </c>
      <c r="F3" t="s">
        <v>406</v>
      </c>
      <c r="G3" t="s">
        <v>407</v>
      </c>
      <c r="H3" t="s">
        <v>408</v>
      </c>
      <c r="I3" t="s">
        <v>409</v>
      </c>
      <c r="K3" t="s">
        <v>475</v>
      </c>
      <c r="L3" t="s">
        <v>494</v>
      </c>
      <c r="M3" t="s">
        <v>4</v>
      </c>
      <c r="O3" t="s">
        <v>500</v>
      </c>
      <c r="P3">
        <v>10</v>
      </c>
    </row>
    <row r="4" spans="1:16" x14ac:dyDescent="0.25">
      <c r="A4" t="s">
        <v>410</v>
      </c>
      <c r="B4" t="s">
        <v>411</v>
      </c>
      <c r="C4">
        <v>2</v>
      </c>
      <c r="D4">
        <v>12</v>
      </c>
      <c r="E4" t="s">
        <v>405</v>
      </c>
      <c r="F4" t="s">
        <v>406</v>
      </c>
      <c r="G4" t="s">
        <v>407</v>
      </c>
      <c r="H4" t="s">
        <v>408</v>
      </c>
      <c r="I4" t="s">
        <v>409</v>
      </c>
      <c r="K4" t="s">
        <v>476</v>
      </c>
      <c r="L4" t="s">
        <v>495</v>
      </c>
      <c r="M4" t="s">
        <v>497</v>
      </c>
      <c r="O4" t="s">
        <v>501</v>
      </c>
      <c r="P4">
        <v>15</v>
      </c>
    </row>
    <row r="5" spans="1:16" x14ac:dyDescent="0.25">
      <c r="A5" t="s">
        <v>412</v>
      </c>
      <c r="B5" t="s">
        <v>413</v>
      </c>
      <c r="C5">
        <v>2</v>
      </c>
      <c r="D5">
        <v>7</v>
      </c>
      <c r="E5" t="s">
        <v>405</v>
      </c>
      <c r="F5" t="s">
        <v>406</v>
      </c>
      <c r="G5" t="s">
        <v>407</v>
      </c>
      <c r="H5" t="s">
        <v>408</v>
      </c>
      <c r="I5" t="s">
        <v>409</v>
      </c>
      <c r="K5" t="s">
        <v>477</v>
      </c>
      <c r="L5" t="s">
        <v>495</v>
      </c>
      <c r="M5" t="s">
        <v>497</v>
      </c>
      <c r="O5" t="s">
        <v>502</v>
      </c>
      <c r="P5">
        <v>20</v>
      </c>
    </row>
    <row r="6" spans="1:16" x14ac:dyDescent="0.25">
      <c r="A6" t="s">
        <v>414</v>
      </c>
      <c r="B6" t="s">
        <v>415</v>
      </c>
      <c r="C6">
        <v>1</v>
      </c>
      <c r="D6">
        <v>6</v>
      </c>
      <c r="E6" t="s">
        <v>416</v>
      </c>
      <c r="F6" t="s">
        <v>406</v>
      </c>
      <c r="G6" t="s">
        <v>407</v>
      </c>
      <c r="H6" t="s">
        <v>408</v>
      </c>
      <c r="I6" t="s">
        <v>409</v>
      </c>
      <c r="K6" t="s">
        <v>478</v>
      </c>
      <c r="L6" t="s">
        <v>495</v>
      </c>
      <c r="M6" t="s">
        <v>498</v>
      </c>
      <c r="O6" t="s">
        <v>503</v>
      </c>
      <c r="P6">
        <v>25</v>
      </c>
    </row>
    <row r="7" spans="1:16" x14ac:dyDescent="0.25">
      <c r="A7" t="s">
        <v>417</v>
      </c>
      <c r="B7" t="s">
        <v>418</v>
      </c>
      <c r="C7">
        <v>1</v>
      </c>
      <c r="D7">
        <v>6</v>
      </c>
      <c r="E7" t="s">
        <v>416</v>
      </c>
      <c r="F7" t="s">
        <v>406</v>
      </c>
      <c r="G7" t="s">
        <v>407</v>
      </c>
      <c r="H7" t="s">
        <v>408</v>
      </c>
      <c r="I7" t="s">
        <v>409</v>
      </c>
      <c r="K7" t="s">
        <v>479</v>
      </c>
      <c r="L7" t="s">
        <v>495</v>
      </c>
      <c r="M7" t="s">
        <v>498</v>
      </c>
      <c r="O7" t="s">
        <v>504</v>
      </c>
      <c r="P7">
        <v>30</v>
      </c>
    </row>
    <row r="8" spans="1:16" x14ac:dyDescent="0.25">
      <c r="A8" t="s">
        <v>419</v>
      </c>
      <c r="B8" t="s">
        <v>420</v>
      </c>
      <c r="C8">
        <v>2</v>
      </c>
      <c r="D8">
        <v>6</v>
      </c>
      <c r="E8" t="s">
        <v>416</v>
      </c>
      <c r="F8" t="s">
        <v>406</v>
      </c>
      <c r="G8" t="s">
        <v>407</v>
      </c>
      <c r="H8" t="s">
        <v>408</v>
      </c>
      <c r="I8" t="s">
        <v>409</v>
      </c>
      <c r="K8" t="s">
        <v>480</v>
      </c>
      <c r="L8" t="s">
        <v>495</v>
      </c>
      <c r="M8" t="s">
        <v>499</v>
      </c>
      <c r="O8" t="s">
        <v>505</v>
      </c>
      <c r="P8">
        <v>40</v>
      </c>
    </row>
    <row r="9" spans="1:16" x14ac:dyDescent="0.25">
      <c r="A9" t="s">
        <v>421</v>
      </c>
      <c r="B9" t="s">
        <v>422</v>
      </c>
      <c r="C9">
        <v>1</v>
      </c>
      <c r="D9">
        <v>6</v>
      </c>
      <c r="E9" t="s">
        <v>423</v>
      </c>
      <c r="F9" t="s">
        <v>406</v>
      </c>
      <c r="G9" t="s">
        <v>407</v>
      </c>
      <c r="H9" t="s">
        <v>424</v>
      </c>
      <c r="I9" t="s">
        <v>425</v>
      </c>
      <c r="K9" t="s">
        <v>481</v>
      </c>
      <c r="L9" t="s">
        <v>496</v>
      </c>
      <c r="M9" t="s">
        <v>497</v>
      </c>
      <c r="O9" t="s">
        <v>506</v>
      </c>
      <c r="P9">
        <v>50</v>
      </c>
    </row>
    <row r="10" spans="1:16" x14ac:dyDescent="0.25">
      <c r="A10" t="s">
        <v>426</v>
      </c>
      <c r="B10" t="s">
        <v>427</v>
      </c>
      <c r="C10">
        <v>2</v>
      </c>
      <c r="D10">
        <v>12</v>
      </c>
      <c r="E10" t="s">
        <v>423</v>
      </c>
      <c r="F10" t="s">
        <v>406</v>
      </c>
      <c r="G10" t="s">
        <v>407</v>
      </c>
      <c r="H10" t="s">
        <v>424</v>
      </c>
      <c r="I10" t="s">
        <v>425</v>
      </c>
      <c r="K10" t="s">
        <v>482</v>
      </c>
      <c r="L10" t="s">
        <v>496</v>
      </c>
      <c r="M10" t="s">
        <v>497</v>
      </c>
    </row>
    <row r="11" spans="1:16" x14ac:dyDescent="0.25">
      <c r="A11" t="s">
        <v>428</v>
      </c>
      <c r="B11" t="s">
        <v>429</v>
      </c>
      <c r="C11">
        <v>2</v>
      </c>
      <c r="D11">
        <v>6</v>
      </c>
      <c r="E11" t="s">
        <v>423</v>
      </c>
      <c r="F11" t="s">
        <v>406</v>
      </c>
      <c r="G11" t="s">
        <v>407</v>
      </c>
      <c r="H11" t="s">
        <v>424</v>
      </c>
      <c r="I11" t="s">
        <v>425</v>
      </c>
      <c r="K11" t="s">
        <v>483</v>
      </c>
      <c r="L11" t="s">
        <v>496</v>
      </c>
      <c r="M11" t="s">
        <v>497</v>
      </c>
    </row>
    <row r="12" spans="1:16" x14ac:dyDescent="0.25">
      <c r="A12" t="s">
        <v>430</v>
      </c>
      <c r="B12" t="s">
        <v>431</v>
      </c>
      <c r="C12">
        <v>1</v>
      </c>
      <c r="D12">
        <v>20</v>
      </c>
      <c r="E12" t="s">
        <v>416</v>
      </c>
      <c r="F12" t="s">
        <v>406</v>
      </c>
      <c r="G12" t="s">
        <v>432</v>
      </c>
      <c r="H12" t="s">
        <v>433</v>
      </c>
      <c r="I12" t="s">
        <v>434</v>
      </c>
      <c r="K12" t="s">
        <v>484</v>
      </c>
      <c r="L12" t="s">
        <v>496</v>
      </c>
      <c r="M12" t="s">
        <v>497</v>
      </c>
    </row>
    <row r="13" spans="1:16" x14ac:dyDescent="0.25">
      <c r="A13" t="s">
        <v>435</v>
      </c>
      <c r="B13" t="s">
        <v>436</v>
      </c>
      <c r="C13">
        <v>1</v>
      </c>
      <c r="D13">
        <v>4</v>
      </c>
      <c r="E13" t="s">
        <v>416</v>
      </c>
      <c r="F13" t="s">
        <v>406</v>
      </c>
      <c r="G13" t="s">
        <v>432</v>
      </c>
      <c r="H13" t="s">
        <v>433</v>
      </c>
      <c r="I13" t="s">
        <v>434</v>
      </c>
      <c r="K13" t="s">
        <v>485</v>
      </c>
      <c r="L13" t="s">
        <v>496</v>
      </c>
      <c r="M13" t="s">
        <v>499</v>
      </c>
    </row>
    <row r="14" spans="1:16" x14ac:dyDescent="0.25">
      <c r="A14" t="s">
        <v>437</v>
      </c>
      <c r="B14" t="s">
        <v>438</v>
      </c>
      <c r="C14">
        <v>1</v>
      </c>
      <c r="D14">
        <v>15</v>
      </c>
      <c r="E14" t="s">
        <v>416</v>
      </c>
      <c r="F14" t="s">
        <v>406</v>
      </c>
      <c r="G14" t="s">
        <v>432</v>
      </c>
      <c r="H14" t="s">
        <v>433</v>
      </c>
      <c r="I14" t="s">
        <v>434</v>
      </c>
      <c r="K14" t="s">
        <v>486</v>
      </c>
      <c r="L14" t="s">
        <v>496</v>
      </c>
      <c r="M14" t="s">
        <v>499</v>
      </c>
    </row>
    <row r="15" spans="1:16" x14ac:dyDescent="0.25">
      <c r="A15" t="s">
        <v>439</v>
      </c>
      <c r="B15" t="s">
        <v>440</v>
      </c>
      <c r="C15" t="s">
        <v>441</v>
      </c>
      <c r="D15">
        <v>32</v>
      </c>
      <c r="E15" t="s">
        <v>416</v>
      </c>
      <c r="F15" t="s">
        <v>406</v>
      </c>
      <c r="G15" t="s">
        <v>442</v>
      </c>
      <c r="H15" t="s">
        <v>409</v>
      </c>
      <c r="I15" t="s">
        <v>443</v>
      </c>
      <c r="K15" t="s">
        <v>487</v>
      </c>
      <c r="L15" t="s">
        <v>496</v>
      </c>
      <c r="M15" t="s">
        <v>499</v>
      </c>
    </row>
    <row r="16" spans="1:16" x14ac:dyDescent="0.25">
      <c r="A16" t="s">
        <v>444</v>
      </c>
      <c r="B16" t="s">
        <v>445</v>
      </c>
      <c r="C16" t="s">
        <v>441</v>
      </c>
      <c r="D16">
        <v>36</v>
      </c>
      <c r="E16" t="s">
        <v>416</v>
      </c>
      <c r="F16" t="s">
        <v>406</v>
      </c>
      <c r="G16" t="s">
        <v>442</v>
      </c>
      <c r="H16" t="s">
        <v>409</v>
      </c>
      <c r="I16" t="s">
        <v>443</v>
      </c>
      <c r="K16" t="s">
        <v>488</v>
      </c>
      <c r="L16" t="s">
        <v>496</v>
      </c>
      <c r="M16" t="s">
        <v>499</v>
      </c>
    </row>
    <row r="17" spans="1:13" x14ac:dyDescent="0.25">
      <c r="A17" t="s">
        <v>446</v>
      </c>
      <c r="B17" t="s">
        <v>447</v>
      </c>
      <c r="C17" t="s">
        <v>441</v>
      </c>
      <c r="D17">
        <v>30</v>
      </c>
      <c r="E17" t="s">
        <v>416</v>
      </c>
      <c r="F17" t="s">
        <v>406</v>
      </c>
      <c r="G17" t="s">
        <v>442</v>
      </c>
      <c r="H17" t="s">
        <v>409</v>
      </c>
      <c r="I17" t="s">
        <v>443</v>
      </c>
      <c r="K17" t="s">
        <v>489</v>
      </c>
      <c r="L17" t="s">
        <v>496</v>
      </c>
      <c r="M17" t="s">
        <v>498</v>
      </c>
    </row>
    <row r="18" spans="1:13" x14ac:dyDescent="0.25">
      <c r="A18" t="s">
        <v>448</v>
      </c>
      <c r="B18" t="s">
        <v>449</v>
      </c>
      <c r="C18" t="s">
        <v>441</v>
      </c>
      <c r="D18">
        <v>50</v>
      </c>
      <c r="E18" t="s">
        <v>416</v>
      </c>
      <c r="F18" t="s">
        <v>406</v>
      </c>
      <c r="G18" t="s">
        <v>450</v>
      </c>
      <c r="H18" t="s">
        <v>451</v>
      </c>
      <c r="I18" t="s">
        <v>452</v>
      </c>
      <c r="K18" t="s">
        <v>490</v>
      </c>
      <c r="L18" t="s">
        <v>496</v>
      </c>
      <c r="M18" t="s">
        <v>498</v>
      </c>
    </row>
    <row r="19" spans="1:13" x14ac:dyDescent="0.25">
      <c r="A19" t="s">
        <v>453</v>
      </c>
      <c r="B19" t="s">
        <v>454</v>
      </c>
      <c r="C19" t="s">
        <v>441</v>
      </c>
      <c r="D19">
        <v>30</v>
      </c>
      <c r="E19" t="s">
        <v>416</v>
      </c>
      <c r="F19" t="s">
        <v>406</v>
      </c>
      <c r="G19" t="s">
        <v>450</v>
      </c>
      <c r="H19" t="s">
        <v>451</v>
      </c>
      <c r="I19" t="s">
        <v>452</v>
      </c>
      <c r="K19" t="s">
        <v>491</v>
      </c>
      <c r="L19" t="s">
        <v>496</v>
      </c>
      <c r="M19" t="s">
        <v>498</v>
      </c>
    </row>
    <row r="20" spans="1:13" x14ac:dyDescent="0.25">
      <c r="A20" t="s">
        <v>455</v>
      </c>
      <c r="B20" t="s">
        <v>456</v>
      </c>
      <c r="C20" t="s">
        <v>441</v>
      </c>
      <c r="D20">
        <v>40</v>
      </c>
      <c r="E20" t="s">
        <v>416</v>
      </c>
      <c r="F20" t="s">
        <v>406</v>
      </c>
      <c r="G20" t="s">
        <v>450</v>
      </c>
      <c r="H20" t="s">
        <v>451</v>
      </c>
      <c r="I20" t="s">
        <v>452</v>
      </c>
      <c r="K20" t="s">
        <v>492</v>
      </c>
      <c r="L20" t="s">
        <v>496</v>
      </c>
      <c r="M20" t="s">
        <v>6</v>
      </c>
    </row>
    <row r="21" spans="1:13" x14ac:dyDescent="0.25">
      <c r="A21" t="s">
        <v>457</v>
      </c>
      <c r="B21" t="s">
        <v>458</v>
      </c>
      <c r="C21" t="s">
        <v>441</v>
      </c>
      <c r="D21">
        <v>60</v>
      </c>
      <c r="E21" t="s">
        <v>423</v>
      </c>
      <c r="F21" t="s">
        <v>406</v>
      </c>
      <c r="G21" t="s">
        <v>459</v>
      </c>
      <c r="H21" t="s">
        <v>460</v>
      </c>
      <c r="I21" t="s">
        <v>461</v>
      </c>
      <c r="K21" t="s">
        <v>493</v>
      </c>
      <c r="L21" t="s">
        <v>496</v>
      </c>
      <c r="M21" t="s">
        <v>6</v>
      </c>
    </row>
    <row r="22" spans="1:13" x14ac:dyDescent="0.25">
      <c r="A22" t="s">
        <v>462</v>
      </c>
      <c r="B22" t="s">
        <v>463</v>
      </c>
      <c r="C22" t="s">
        <v>441</v>
      </c>
      <c r="D22">
        <v>75</v>
      </c>
      <c r="E22" t="s">
        <v>423</v>
      </c>
      <c r="F22" t="s">
        <v>406</v>
      </c>
      <c r="G22" t="s">
        <v>459</v>
      </c>
      <c r="H22" t="s">
        <v>460</v>
      </c>
      <c r="I22" t="s">
        <v>461</v>
      </c>
    </row>
    <row r="23" spans="1:13" x14ac:dyDescent="0.25">
      <c r="A23" t="s">
        <v>464</v>
      </c>
      <c r="B23" t="s">
        <v>465</v>
      </c>
      <c r="C23" t="s">
        <v>441</v>
      </c>
      <c r="D23">
        <v>60</v>
      </c>
      <c r="E23" t="s">
        <v>423</v>
      </c>
      <c r="F23" t="s">
        <v>406</v>
      </c>
      <c r="G23" t="s">
        <v>459</v>
      </c>
      <c r="H23" t="s">
        <v>460</v>
      </c>
      <c r="I23" t="s">
        <v>461</v>
      </c>
    </row>
  </sheetData>
  <mergeCells count="2">
    <mergeCell ref="A1:I1"/>
    <mergeCell ref="K1:M1"/>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FB444D-4DB1-4656-B307-A000DEC0A75C}">
  <dimension ref="A1:E13"/>
  <sheetViews>
    <sheetView workbookViewId="0">
      <selection activeCell="A2" sqref="A2:A8"/>
    </sheetView>
  </sheetViews>
  <sheetFormatPr baseColWidth="10" defaultRowHeight="15" x14ac:dyDescent="0.25"/>
  <cols>
    <col min="1" max="1" width="13.85546875" bestFit="1" customWidth="1"/>
    <col min="2" max="2" width="12.28515625" bestFit="1" customWidth="1"/>
    <col min="3" max="3" width="3.28515625" customWidth="1"/>
    <col min="5" max="5" width="12.28515625" bestFit="1" customWidth="1"/>
    <col min="6" max="6" width="3.42578125" customWidth="1"/>
  </cols>
  <sheetData>
    <row r="1" spans="1:5" x14ac:dyDescent="0.25">
      <c r="A1" t="s">
        <v>511</v>
      </c>
      <c r="B1" t="s">
        <v>519</v>
      </c>
      <c r="D1" t="s">
        <v>520</v>
      </c>
      <c r="E1" t="s">
        <v>519</v>
      </c>
    </row>
    <row r="2" spans="1:5" x14ac:dyDescent="0.25">
      <c r="A2" t="s">
        <v>512</v>
      </c>
      <c r="B2">
        <v>0</v>
      </c>
      <c r="D2" s="37">
        <v>0.5</v>
      </c>
      <c r="E2">
        <v>0</v>
      </c>
    </row>
    <row r="3" spans="1:5" x14ac:dyDescent="0.25">
      <c r="A3" t="s">
        <v>513</v>
      </c>
      <c r="B3">
        <v>1</v>
      </c>
      <c r="D3" s="37">
        <v>0.6</v>
      </c>
      <c r="E3">
        <v>1</v>
      </c>
    </row>
    <row r="4" spans="1:5" x14ac:dyDescent="0.25">
      <c r="A4" t="s">
        <v>514</v>
      </c>
      <c r="B4">
        <v>2</v>
      </c>
      <c r="D4" s="37">
        <v>0.7</v>
      </c>
      <c r="E4">
        <v>2</v>
      </c>
    </row>
    <row r="5" spans="1:5" x14ac:dyDescent="0.25">
      <c r="A5" t="s">
        <v>515</v>
      </c>
      <c r="B5">
        <v>3</v>
      </c>
      <c r="D5" s="37">
        <v>0.8</v>
      </c>
      <c r="E5">
        <v>3</v>
      </c>
    </row>
    <row r="6" spans="1:5" x14ac:dyDescent="0.25">
      <c r="A6" t="s">
        <v>516</v>
      </c>
      <c r="B6">
        <v>4</v>
      </c>
      <c r="D6" s="37">
        <v>0.9</v>
      </c>
      <c r="E6">
        <v>4</v>
      </c>
    </row>
    <row r="7" spans="1:5" x14ac:dyDescent="0.25">
      <c r="A7" t="s">
        <v>517</v>
      </c>
      <c r="B7">
        <v>5</v>
      </c>
      <c r="D7" s="37">
        <v>1</v>
      </c>
      <c r="E7">
        <v>5</v>
      </c>
    </row>
    <row r="8" spans="1:5" x14ac:dyDescent="0.25">
      <c r="A8" t="s">
        <v>518</v>
      </c>
      <c r="B8">
        <v>6</v>
      </c>
    </row>
    <row r="13" spans="1:5" x14ac:dyDescent="0.25">
      <c r="A13" t="s">
        <v>521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8EC559-3451-4EAB-BA87-A613634BA486}">
  <dimension ref="A1:O39"/>
  <sheetViews>
    <sheetView workbookViewId="0">
      <selection activeCell="B40" sqref="B40"/>
    </sheetView>
  </sheetViews>
  <sheetFormatPr baseColWidth="10" defaultRowHeight="15" x14ac:dyDescent="0.25"/>
  <sheetData>
    <row r="1" spans="1:15" x14ac:dyDescent="0.25">
      <c r="A1" s="86" t="s">
        <v>737</v>
      </c>
      <c r="B1" s="87"/>
      <c r="C1" s="87"/>
      <c r="D1" s="87"/>
      <c r="E1" s="87"/>
      <c r="F1" s="87"/>
      <c r="G1" s="87"/>
      <c r="H1" s="87"/>
      <c r="I1" s="87"/>
      <c r="J1" s="87"/>
      <c r="K1" s="87"/>
      <c r="L1" s="87"/>
      <c r="M1" s="87"/>
      <c r="N1" s="87"/>
      <c r="O1" s="87"/>
    </row>
    <row r="2" spans="1:15" x14ac:dyDescent="0.25">
      <c r="A2" s="87"/>
      <c r="B2" s="87"/>
      <c r="C2" s="87"/>
      <c r="D2" s="87"/>
      <c r="E2" s="87"/>
      <c r="F2" s="87"/>
      <c r="G2" s="87"/>
      <c r="H2" s="87"/>
      <c r="I2" s="87"/>
      <c r="J2" s="87"/>
      <c r="K2" s="87"/>
      <c r="L2" s="87"/>
      <c r="M2" s="87"/>
      <c r="N2" s="87"/>
      <c r="O2" s="87"/>
    </row>
    <row r="3" spans="1:15" x14ac:dyDescent="0.25">
      <c r="A3" s="87"/>
      <c r="B3" s="87"/>
      <c r="C3" s="87"/>
      <c r="D3" s="87"/>
      <c r="E3" s="87"/>
      <c r="F3" s="87"/>
      <c r="G3" s="87"/>
      <c r="H3" s="87"/>
      <c r="I3" s="87"/>
      <c r="J3" s="87"/>
      <c r="K3" s="87"/>
      <c r="L3" s="87"/>
      <c r="M3" s="87"/>
      <c r="N3" s="87"/>
      <c r="O3" s="87"/>
    </row>
    <row r="4" spans="1:15" x14ac:dyDescent="0.25">
      <c r="A4" s="87"/>
      <c r="B4" s="87"/>
      <c r="C4" s="87"/>
      <c r="D4" s="87"/>
      <c r="E4" s="87"/>
      <c r="F4" s="87"/>
      <c r="G4" s="87"/>
      <c r="H4" s="87"/>
      <c r="I4" s="87"/>
      <c r="J4" s="87"/>
      <c r="K4" s="87"/>
      <c r="L4" s="87"/>
      <c r="M4" s="87"/>
      <c r="N4" s="87"/>
      <c r="O4" s="87"/>
    </row>
    <row r="5" spans="1:15" x14ac:dyDescent="0.25">
      <c r="A5" s="87"/>
      <c r="B5" s="87"/>
      <c r="C5" s="87"/>
      <c r="D5" s="87"/>
      <c r="E5" s="87"/>
      <c r="F5" s="87"/>
      <c r="G5" s="87"/>
      <c r="H5" s="87"/>
      <c r="I5" s="87"/>
      <c r="J5" s="87"/>
      <c r="K5" s="87"/>
      <c r="L5" s="87"/>
      <c r="M5" s="87"/>
      <c r="N5" s="87"/>
      <c r="O5" s="87"/>
    </row>
    <row r="6" spans="1:15" x14ac:dyDescent="0.25">
      <c r="A6" s="87"/>
      <c r="B6" s="87"/>
      <c r="C6" s="87"/>
      <c r="D6" s="87"/>
      <c r="E6" s="87"/>
      <c r="F6" s="87"/>
      <c r="G6" s="87"/>
      <c r="H6" s="87"/>
      <c r="I6" s="87"/>
      <c r="J6" s="87"/>
      <c r="K6" s="87"/>
      <c r="L6" s="87"/>
      <c r="M6" s="87"/>
      <c r="N6" s="87"/>
      <c r="O6" s="87"/>
    </row>
    <row r="7" spans="1:15" x14ac:dyDescent="0.25">
      <c r="A7" s="87"/>
      <c r="B7" s="87"/>
      <c r="C7" s="87"/>
      <c r="D7" s="87"/>
      <c r="E7" s="87"/>
      <c r="F7" s="87"/>
      <c r="G7" s="87"/>
      <c r="H7" s="87"/>
      <c r="I7" s="87"/>
      <c r="J7" s="87"/>
      <c r="K7" s="87"/>
      <c r="L7" s="87"/>
      <c r="M7" s="87"/>
      <c r="N7" s="87"/>
      <c r="O7" s="87"/>
    </row>
    <row r="8" spans="1:15" x14ac:dyDescent="0.25">
      <c r="A8" s="87"/>
      <c r="B8" s="87"/>
      <c r="C8" s="87"/>
      <c r="D8" s="87"/>
      <c r="E8" s="87"/>
      <c r="F8" s="87"/>
      <c r="G8" s="87"/>
      <c r="H8" s="87"/>
      <c r="I8" s="87"/>
      <c r="J8" s="87"/>
      <c r="K8" s="87"/>
      <c r="L8" s="87"/>
      <c r="M8" s="87"/>
      <c r="N8" s="87"/>
      <c r="O8" s="87"/>
    </row>
    <row r="9" spans="1:15" x14ac:dyDescent="0.25">
      <c r="A9" s="87"/>
      <c r="B9" s="87"/>
      <c r="C9" s="87"/>
      <c r="D9" s="87"/>
      <c r="E9" s="87"/>
      <c r="F9" s="87"/>
      <c r="G9" s="87"/>
      <c r="H9" s="87"/>
      <c r="I9" s="87"/>
      <c r="J9" s="87"/>
      <c r="K9" s="87"/>
      <c r="L9" s="87"/>
      <c r="M9" s="87"/>
      <c r="N9" s="87"/>
      <c r="O9" s="87"/>
    </row>
    <row r="10" spans="1:15" x14ac:dyDescent="0.25">
      <c r="A10" s="87"/>
      <c r="B10" s="87"/>
      <c r="C10" s="87"/>
      <c r="D10" s="87"/>
      <c r="E10" s="87"/>
      <c r="F10" s="87"/>
      <c r="G10" s="87"/>
      <c r="H10" s="87"/>
      <c r="I10" s="87"/>
      <c r="J10" s="87"/>
      <c r="K10" s="87"/>
      <c r="L10" s="87"/>
      <c r="M10" s="87"/>
      <c r="N10" s="87"/>
      <c r="O10" s="87"/>
    </row>
    <row r="11" spans="1:15" x14ac:dyDescent="0.25">
      <c r="A11" s="87"/>
      <c r="B11" s="87"/>
      <c r="C11" s="87"/>
      <c r="D11" s="87"/>
      <c r="E11" s="87"/>
      <c r="F11" s="87"/>
      <c r="G11" s="87"/>
      <c r="H11" s="87"/>
      <c r="I11" s="87"/>
      <c r="J11" s="87"/>
      <c r="K11" s="87"/>
      <c r="L11" s="87"/>
      <c r="M11" s="87"/>
      <c r="N11" s="87"/>
      <c r="O11" s="87"/>
    </row>
    <row r="12" spans="1:15" x14ac:dyDescent="0.25">
      <c r="A12" s="87"/>
      <c r="B12" s="87"/>
      <c r="C12" s="87"/>
      <c r="D12" s="87"/>
      <c r="E12" s="87"/>
      <c r="F12" s="87"/>
      <c r="G12" s="87"/>
      <c r="H12" s="87"/>
      <c r="I12" s="87"/>
      <c r="J12" s="87"/>
      <c r="K12" s="87"/>
      <c r="L12" s="87"/>
      <c r="M12" s="87"/>
      <c r="N12" s="87"/>
      <c r="O12" s="87"/>
    </row>
    <row r="13" spans="1:15" x14ac:dyDescent="0.25">
      <c r="A13" s="87"/>
      <c r="B13" s="87"/>
      <c r="C13" s="87"/>
      <c r="D13" s="87"/>
      <c r="E13" s="87"/>
      <c r="F13" s="87"/>
      <c r="G13" s="87"/>
      <c r="H13" s="87"/>
      <c r="I13" s="87"/>
      <c r="J13" s="87"/>
      <c r="K13" s="87"/>
      <c r="L13" s="87"/>
      <c r="M13" s="87"/>
      <c r="N13" s="87"/>
      <c r="O13" s="87"/>
    </row>
    <row r="14" spans="1:15" x14ac:dyDescent="0.25">
      <c r="A14" s="87"/>
      <c r="B14" s="87"/>
      <c r="C14" s="87"/>
      <c r="D14" s="87"/>
      <c r="E14" s="87"/>
      <c r="F14" s="87"/>
      <c r="G14" s="87"/>
      <c r="H14" s="87"/>
      <c r="I14" s="87"/>
      <c r="J14" s="87"/>
      <c r="K14" s="87"/>
      <c r="L14" s="87"/>
      <c r="M14" s="87"/>
      <c r="N14" s="87"/>
      <c r="O14" s="87"/>
    </row>
    <row r="15" spans="1:15" x14ac:dyDescent="0.25">
      <c r="A15" s="87"/>
      <c r="B15" s="87"/>
      <c r="C15" s="87"/>
      <c r="D15" s="87"/>
      <c r="E15" s="87"/>
      <c r="F15" s="87"/>
      <c r="G15" s="87"/>
      <c r="H15" s="87"/>
      <c r="I15" s="87"/>
      <c r="J15" s="87"/>
      <c r="K15" s="87"/>
      <c r="L15" s="87"/>
      <c r="M15" s="87"/>
      <c r="N15" s="87"/>
      <c r="O15" s="87"/>
    </row>
    <row r="16" spans="1:15" x14ac:dyDescent="0.25">
      <c r="A16" s="87"/>
      <c r="B16" s="87"/>
      <c r="C16" s="87"/>
      <c r="D16" s="87"/>
      <c r="E16" s="87"/>
      <c r="F16" s="87"/>
      <c r="G16" s="87"/>
      <c r="H16" s="87"/>
      <c r="I16" s="87"/>
      <c r="J16" s="87"/>
      <c r="K16" s="87"/>
      <c r="L16" s="87"/>
      <c r="M16" s="87"/>
      <c r="N16" s="87"/>
      <c r="O16" s="87"/>
    </row>
    <row r="17" spans="1:15" x14ac:dyDescent="0.25">
      <c r="A17" s="87"/>
      <c r="B17" s="87"/>
      <c r="C17" s="87"/>
      <c r="D17" s="87"/>
      <c r="E17" s="87"/>
      <c r="F17" s="87"/>
      <c r="G17" s="87"/>
      <c r="H17" s="87"/>
      <c r="I17" s="87"/>
      <c r="J17" s="87"/>
      <c r="K17" s="87"/>
      <c r="L17" s="87"/>
      <c r="M17" s="87"/>
      <c r="N17" s="87"/>
      <c r="O17" s="87"/>
    </row>
    <row r="18" spans="1:15" x14ac:dyDescent="0.25">
      <c r="A18" s="87"/>
      <c r="B18" s="87"/>
      <c r="C18" s="87"/>
      <c r="D18" s="87"/>
      <c r="E18" s="87"/>
      <c r="F18" s="87"/>
      <c r="G18" s="87"/>
      <c r="H18" s="87"/>
      <c r="I18" s="87"/>
      <c r="J18" s="87"/>
      <c r="K18" s="87"/>
      <c r="L18" s="87"/>
      <c r="M18" s="87"/>
      <c r="N18" s="87"/>
      <c r="O18" s="87"/>
    </row>
    <row r="19" spans="1:15" x14ac:dyDescent="0.25">
      <c r="A19" s="87"/>
      <c r="B19" s="87"/>
      <c r="C19" s="87"/>
      <c r="D19" s="87"/>
      <c r="E19" s="87"/>
      <c r="F19" s="87"/>
      <c r="G19" s="87"/>
      <c r="H19" s="87"/>
      <c r="I19" s="87"/>
      <c r="J19" s="87"/>
      <c r="K19" s="87"/>
      <c r="L19" s="87"/>
      <c r="M19" s="87"/>
      <c r="N19" s="87"/>
      <c r="O19" s="87"/>
    </row>
    <row r="20" spans="1:15" x14ac:dyDescent="0.25">
      <c r="A20" s="87"/>
      <c r="B20" s="87"/>
      <c r="C20" s="87"/>
      <c r="D20" s="87"/>
      <c r="E20" s="87"/>
      <c r="F20" s="87"/>
      <c r="G20" s="87"/>
      <c r="H20" s="87"/>
      <c r="I20" s="87"/>
      <c r="J20" s="87"/>
      <c r="K20" s="87"/>
      <c r="L20" s="87"/>
      <c r="M20" s="87"/>
      <c r="N20" s="87"/>
      <c r="O20" s="87"/>
    </row>
    <row r="21" spans="1:15" x14ac:dyDescent="0.25">
      <c r="A21" s="87"/>
      <c r="B21" s="87"/>
      <c r="C21" s="87"/>
      <c r="D21" s="87"/>
      <c r="E21" s="87"/>
      <c r="F21" s="87"/>
      <c r="G21" s="87"/>
      <c r="H21" s="87"/>
      <c r="I21" s="87"/>
      <c r="J21" s="87"/>
      <c r="K21" s="87"/>
      <c r="L21" s="87"/>
      <c r="M21" s="87"/>
      <c r="N21" s="87"/>
      <c r="O21" s="87"/>
    </row>
    <row r="22" spans="1:15" x14ac:dyDescent="0.25">
      <c r="A22" s="87"/>
      <c r="B22" s="87"/>
      <c r="C22" s="87"/>
      <c r="D22" s="87"/>
      <c r="E22" s="87"/>
      <c r="F22" s="87"/>
      <c r="G22" s="87"/>
      <c r="H22" s="87"/>
      <c r="I22" s="87"/>
      <c r="J22" s="87"/>
      <c r="K22" s="87"/>
      <c r="L22" s="87"/>
      <c r="M22" s="87"/>
      <c r="N22" s="87"/>
      <c r="O22" s="87"/>
    </row>
    <row r="23" spans="1:15" x14ac:dyDescent="0.25">
      <c r="A23" s="87"/>
      <c r="B23" s="87"/>
      <c r="C23" s="87"/>
      <c r="D23" s="87"/>
      <c r="E23" s="87"/>
      <c r="F23" s="87"/>
      <c r="G23" s="87"/>
      <c r="H23" s="87"/>
      <c r="I23" s="87"/>
      <c r="J23" s="87"/>
      <c r="K23" s="87"/>
      <c r="L23" s="87"/>
      <c r="M23" s="87"/>
      <c r="N23" s="87"/>
      <c r="O23" s="87"/>
    </row>
    <row r="24" spans="1:15" x14ac:dyDescent="0.25">
      <c r="A24" s="87"/>
      <c r="B24" s="87"/>
      <c r="C24" s="87"/>
      <c r="D24" s="87"/>
      <c r="E24" s="87"/>
      <c r="F24" s="87"/>
      <c r="G24" s="87"/>
      <c r="H24" s="87"/>
      <c r="I24" s="87"/>
      <c r="J24" s="87"/>
      <c r="K24" s="87"/>
      <c r="L24" s="87"/>
      <c r="M24" s="87"/>
      <c r="N24" s="87"/>
      <c r="O24" s="87"/>
    </row>
    <row r="25" spans="1:15" x14ac:dyDescent="0.25">
      <c r="A25" s="87"/>
      <c r="B25" s="87"/>
      <c r="C25" s="87"/>
      <c r="D25" s="87"/>
      <c r="E25" s="87"/>
      <c r="F25" s="87"/>
      <c r="G25" s="87"/>
      <c r="H25" s="87"/>
      <c r="I25" s="87"/>
      <c r="J25" s="87"/>
      <c r="K25" s="87"/>
      <c r="L25" s="87"/>
      <c r="M25" s="87"/>
      <c r="N25" s="87"/>
      <c r="O25" s="87"/>
    </row>
    <row r="26" spans="1:15" x14ac:dyDescent="0.25">
      <c r="A26" s="87"/>
      <c r="B26" s="87"/>
      <c r="C26" s="87"/>
      <c r="D26" s="87"/>
      <c r="E26" s="87"/>
      <c r="F26" s="87"/>
      <c r="G26" s="87"/>
      <c r="H26" s="87"/>
      <c r="I26" s="87"/>
      <c r="J26" s="87"/>
      <c r="K26" s="87"/>
      <c r="L26" s="87"/>
      <c r="M26" s="87"/>
      <c r="N26" s="87"/>
      <c r="O26" s="87"/>
    </row>
    <row r="27" spans="1:15" x14ac:dyDescent="0.25">
      <c r="A27" s="87"/>
      <c r="B27" s="87"/>
      <c r="C27" s="87"/>
      <c r="D27" s="87"/>
      <c r="E27" s="87"/>
      <c r="F27" s="87"/>
      <c r="G27" s="87"/>
      <c r="H27" s="87"/>
      <c r="I27" s="87"/>
      <c r="J27" s="87"/>
      <c r="K27" s="87"/>
      <c r="L27" s="87"/>
      <c r="M27" s="87"/>
      <c r="N27" s="87"/>
      <c r="O27" s="87"/>
    </row>
    <row r="28" spans="1:15" x14ac:dyDescent="0.25">
      <c r="A28" s="87"/>
      <c r="B28" s="87"/>
      <c r="C28" s="87"/>
      <c r="D28" s="87"/>
      <c r="E28" s="87"/>
      <c r="F28" s="87"/>
      <c r="G28" s="87"/>
      <c r="H28" s="87"/>
      <c r="I28" s="87"/>
      <c r="J28" s="87"/>
      <c r="K28" s="87"/>
      <c r="L28" s="87"/>
      <c r="M28" s="87"/>
      <c r="N28" s="87"/>
      <c r="O28" s="87"/>
    </row>
    <row r="29" spans="1:15" x14ac:dyDescent="0.25">
      <c r="A29" s="87"/>
      <c r="B29" s="87"/>
      <c r="C29" s="87"/>
      <c r="D29" s="87"/>
      <c r="E29" s="87"/>
      <c r="F29" s="87"/>
      <c r="G29" s="87"/>
      <c r="H29" s="87"/>
      <c r="I29" s="87"/>
      <c r="J29" s="87"/>
      <c r="K29" s="87"/>
      <c r="L29" s="87"/>
      <c r="M29" s="87"/>
      <c r="N29" s="87"/>
      <c r="O29" s="87"/>
    </row>
    <row r="30" spans="1:15" x14ac:dyDescent="0.25">
      <c r="A30" s="87"/>
      <c r="B30" s="87"/>
      <c r="C30" s="87"/>
      <c r="D30" s="87"/>
      <c r="E30" s="87"/>
      <c r="F30" s="87"/>
      <c r="G30" s="87"/>
      <c r="H30" s="87"/>
      <c r="I30" s="87"/>
      <c r="J30" s="87"/>
      <c r="K30" s="87"/>
      <c r="L30" s="87"/>
      <c r="M30" s="87"/>
      <c r="N30" s="87"/>
      <c r="O30" s="87"/>
    </row>
    <row r="31" spans="1:15" x14ac:dyDescent="0.25">
      <c r="A31" s="87"/>
      <c r="B31" s="87"/>
      <c r="C31" s="87"/>
      <c r="D31" s="87"/>
      <c r="E31" s="87"/>
      <c r="F31" s="87"/>
      <c r="G31" s="87"/>
      <c r="H31" s="87"/>
      <c r="I31" s="87"/>
      <c r="J31" s="87"/>
      <c r="K31" s="87"/>
      <c r="L31" s="87"/>
      <c r="M31" s="87"/>
      <c r="N31" s="87"/>
      <c r="O31" s="87"/>
    </row>
    <row r="32" spans="1:15" x14ac:dyDescent="0.25">
      <c r="A32" s="87"/>
      <c r="B32" s="87"/>
      <c r="C32" s="87"/>
      <c r="D32" s="87"/>
      <c r="E32" s="87"/>
      <c r="F32" s="87"/>
      <c r="G32" s="87"/>
      <c r="H32" s="87"/>
      <c r="I32" s="87"/>
      <c r="J32" s="87"/>
      <c r="K32" s="87"/>
      <c r="L32" s="87"/>
      <c r="M32" s="87"/>
      <c r="N32" s="87"/>
      <c r="O32" s="87"/>
    </row>
    <row r="33" spans="1:15" x14ac:dyDescent="0.25">
      <c r="A33" s="87"/>
      <c r="B33" s="87"/>
      <c r="C33" s="87"/>
      <c r="D33" s="87"/>
      <c r="E33" s="87"/>
      <c r="F33" s="87"/>
      <c r="G33" s="87"/>
      <c r="H33" s="87"/>
      <c r="I33" s="87"/>
      <c r="J33" s="87"/>
      <c r="K33" s="87"/>
      <c r="L33" s="87"/>
      <c r="M33" s="87"/>
      <c r="N33" s="87"/>
      <c r="O33" s="87"/>
    </row>
    <row r="34" spans="1:15" x14ac:dyDescent="0.25">
      <c r="A34" s="87"/>
      <c r="B34" s="87"/>
      <c r="C34" s="87"/>
      <c r="D34" s="87"/>
      <c r="E34" s="87"/>
      <c r="F34" s="87"/>
      <c r="G34" s="87"/>
      <c r="H34" s="87"/>
      <c r="I34" s="87"/>
      <c r="J34" s="87"/>
      <c r="K34" s="87"/>
      <c r="L34" s="87"/>
      <c r="M34" s="87"/>
      <c r="N34" s="87"/>
      <c r="O34" s="87"/>
    </row>
    <row r="35" spans="1:15" x14ac:dyDescent="0.25">
      <c r="A35" s="87"/>
      <c r="B35" s="87"/>
      <c r="C35" s="87"/>
      <c r="D35" s="87"/>
      <c r="E35" s="87"/>
      <c r="F35" s="87"/>
      <c r="G35" s="87"/>
      <c r="H35" s="87"/>
      <c r="I35" s="87"/>
      <c r="J35" s="87"/>
      <c r="K35" s="87"/>
      <c r="L35" s="87"/>
      <c r="M35" s="87"/>
      <c r="N35" s="87"/>
      <c r="O35" s="87"/>
    </row>
    <row r="36" spans="1:15" x14ac:dyDescent="0.25">
      <c r="A36" s="87"/>
      <c r="B36" s="87"/>
      <c r="C36" s="87"/>
      <c r="D36" s="87"/>
      <c r="E36" s="87"/>
      <c r="F36" s="87"/>
      <c r="G36" s="87"/>
      <c r="H36" s="87"/>
      <c r="I36" s="87"/>
      <c r="J36" s="87"/>
      <c r="K36" s="87"/>
      <c r="L36" s="87"/>
      <c r="M36" s="87"/>
      <c r="N36" s="87"/>
      <c r="O36" s="87"/>
    </row>
    <row r="37" spans="1:15" x14ac:dyDescent="0.25">
      <c r="A37" s="87"/>
      <c r="B37" s="87"/>
      <c r="C37" s="87"/>
      <c r="D37" s="87"/>
      <c r="E37" s="87"/>
      <c r="F37" s="87"/>
      <c r="G37" s="87"/>
      <c r="H37" s="87"/>
      <c r="I37" s="87"/>
      <c r="J37" s="87"/>
      <c r="K37" s="87"/>
      <c r="L37" s="87"/>
      <c r="M37" s="87"/>
      <c r="N37" s="87"/>
      <c r="O37" s="87"/>
    </row>
    <row r="38" spans="1:15" x14ac:dyDescent="0.25">
      <c r="A38" s="87"/>
      <c r="B38" s="87"/>
      <c r="C38" s="87"/>
      <c r="D38" s="87"/>
      <c r="E38" s="87"/>
      <c r="F38" s="87"/>
      <c r="G38" s="87"/>
      <c r="H38" s="87"/>
      <c r="I38" s="87"/>
      <c r="J38" s="87"/>
      <c r="K38" s="87"/>
      <c r="L38" s="87"/>
      <c r="M38" s="87"/>
      <c r="N38" s="87"/>
      <c r="O38" s="87"/>
    </row>
    <row r="39" spans="1:15" x14ac:dyDescent="0.25">
      <c r="A39" s="87"/>
      <c r="B39" s="87"/>
      <c r="C39" s="87"/>
      <c r="D39" s="87"/>
      <c r="E39" s="87"/>
      <c r="F39" s="87"/>
      <c r="G39" s="87"/>
      <c r="H39" s="87"/>
      <c r="I39" s="87"/>
      <c r="J39" s="87"/>
      <c r="K39" s="87"/>
      <c r="L39" s="87"/>
      <c r="M39" s="87"/>
      <c r="N39" s="87"/>
      <c r="O39" s="87"/>
    </row>
  </sheetData>
  <mergeCells count="1">
    <mergeCell ref="A1:O39"/>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33BF59-2B50-431E-BCAC-13E20847670B}">
  <dimension ref="B1:CB55"/>
  <sheetViews>
    <sheetView showGridLines="0" tabSelected="1" zoomScale="85" zoomScaleNormal="85" workbookViewId="0">
      <selection activeCell="H12" sqref="H12"/>
    </sheetView>
  </sheetViews>
  <sheetFormatPr baseColWidth="10" defaultColWidth="2.85546875" defaultRowHeight="15" x14ac:dyDescent="0.25"/>
  <cols>
    <col min="1" max="1" width="2.85546875" customWidth="1"/>
    <col min="2" max="2" width="1.5703125" customWidth="1"/>
    <col min="3" max="3" width="10.28515625" customWidth="1"/>
    <col min="4" max="4" width="8.5703125" customWidth="1"/>
    <col min="5" max="5" width="7.5703125" customWidth="1"/>
    <col min="6" max="6" width="7.7109375" customWidth="1"/>
    <col min="7" max="7" width="8.5703125" customWidth="1"/>
    <col min="8" max="8" width="9" customWidth="1"/>
    <col min="9" max="9" width="5.85546875" bestFit="1" customWidth="1"/>
    <col min="10" max="10" width="7.5703125" bestFit="1" customWidth="1"/>
    <col min="11" max="12" width="2.85546875" customWidth="1"/>
    <col min="13" max="13" width="13.7109375" customWidth="1"/>
    <col min="14" max="14" width="6.5703125" customWidth="1"/>
    <col min="15" max="15" width="6.85546875" customWidth="1"/>
    <col min="16" max="16" width="5.28515625" customWidth="1"/>
    <col min="17" max="17" width="2.85546875" customWidth="1"/>
    <col min="18" max="18" width="1.5703125" customWidth="1"/>
    <col min="19" max="19" width="2.85546875" customWidth="1"/>
    <col min="20" max="20" width="1.5703125" customWidth="1"/>
    <col min="21" max="27" width="2.85546875" customWidth="1"/>
    <col min="28" max="29" width="3.7109375" customWidth="1"/>
    <col min="30" max="30" width="3.140625" customWidth="1"/>
    <col min="31" max="31" width="3.28515625" customWidth="1"/>
    <col min="32" max="43" width="2.85546875" customWidth="1"/>
    <col min="44" max="44" width="3.7109375" customWidth="1"/>
    <col min="45" max="54" width="2.85546875" customWidth="1"/>
    <col min="55" max="55" width="3.28515625" customWidth="1"/>
    <col min="56" max="56" width="1.5703125" customWidth="1"/>
    <col min="58" max="58" width="1.5703125" customWidth="1"/>
    <col min="59" max="59" width="4.140625" bestFit="1" customWidth="1"/>
    <col min="80" max="80" width="1.5703125" customWidth="1"/>
    <col min="83" max="83" width="5.7109375" bestFit="1" customWidth="1"/>
  </cols>
  <sheetData>
    <row r="1" spans="2:80" ht="15.75" thickBot="1" x14ac:dyDescent="0.3"/>
    <row r="2" spans="2:80" ht="8.25" customHeight="1" thickTop="1" x14ac:dyDescent="0.25">
      <c r="B2" s="19"/>
      <c r="C2" s="20"/>
      <c r="D2" s="20"/>
      <c r="E2" s="20"/>
      <c r="F2" s="20"/>
      <c r="G2" s="20"/>
      <c r="H2" s="20"/>
      <c r="I2" s="20"/>
      <c r="J2" s="20"/>
      <c r="K2" s="20"/>
      <c r="L2" s="20"/>
      <c r="M2" s="20"/>
      <c r="N2" s="20"/>
      <c r="O2" s="20"/>
      <c r="P2" s="20"/>
      <c r="Q2" s="20"/>
      <c r="R2" s="21"/>
      <c r="T2" s="19"/>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1"/>
      <c r="BF2" s="19"/>
      <c r="BG2" s="20"/>
      <c r="BH2" s="20"/>
      <c r="BI2" s="20"/>
      <c r="BJ2" s="20"/>
      <c r="BK2" s="20"/>
      <c r="BL2" s="20"/>
      <c r="BM2" s="20"/>
      <c r="BN2" s="20"/>
      <c r="BO2" s="20"/>
      <c r="BP2" s="20"/>
      <c r="BQ2" s="20"/>
      <c r="BR2" s="20"/>
      <c r="BS2" s="20"/>
      <c r="BT2" s="20"/>
      <c r="BU2" s="20"/>
      <c r="BV2" s="20"/>
      <c r="BW2" s="20"/>
      <c r="BX2" s="20"/>
      <c r="BY2" s="20"/>
      <c r="BZ2" s="20"/>
      <c r="CA2" s="20"/>
      <c r="CB2" s="21"/>
    </row>
    <row r="3" spans="2:80" x14ac:dyDescent="0.25">
      <c r="B3" s="22"/>
      <c r="C3" s="17" t="s">
        <v>217</v>
      </c>
      <c r="D3" s="157" t="s">
        <v>147</v>
      </c>
      <c r="E3" s="158"/>
      <c r="F3" s="159"/>
      <c r="G3" s="153" t="s">
        <v>220</v>
      </c>
      <c r="H3" s="137"/>
      <c r="I3" s="137"/>
      <c r="J3" s="160"/>
      <c r="K3" s="9"/>
      <c r="L3" s="5"/>
      <c r="M3" s="6"/>
      <c r="N3" s="6"/>
      <c r="O3" s="6"/>
      <c r="P3" s="6"/>
      <c r="Q3" s="7"/>
      <c r="R3" s="23"/>
      <c r="T3" s="22"/>
      <c r="U3" s="141" t="s">
        <v>302</v>
      </c>
      <c r="V3" s="141"/>
      <c r="W3" s="141"/>
      <c r="X3" s="141"/>
      <c r="Y3" s="141"/>
      <c r="Z3" s="141"/>
      <c r="AA3" s="141"/>
      <c r="AB3" s="141"/>
      <c r="AC3" s="141"/>
      <c r="AD3" s="141" t="s">
        <v>736</v>
      </c>
      <c r="AE3" s="141"/>
      <c r="AF3" s="141"/>
      <c r="AG3" s="141"/>
      <c r="AH3" s="141" t="s">
        <v>683</v>
      </c>
      <c r="AI3" s="141"/>
      <c r="AJ3" s="141"/>
      <c r="AK3" s="141" t="s">
        <v>310</v>
      </c>
      <c r="AL3" s="141"/>
      <c r="AM3" s="141"/>
      <c r="AN3" s="141" t="s">
        <v>311</v>
      </c>
      <c r="AO3" s="141"/>
      <c r="AP3" s="141"/>
      <c r="AQ3" s="141" t="s">
        <v>682</v>
      </c>
      <c r="AR3" s="141"/>
      <c r="AS3" s="141" t="s">
        <v>309</v>
      </c>
      <c r="AT3" s="141"/>
      <c r="AU3" s="141"/>
      <c r="AV3" s="141"/>
      <c r="AW3" s="141"/>
      <c r="AX3" s="141"/>
      <c r="AY3" s="141"/>
      <c r="AZ3" s="141"/>
      <c r="BA3" s="141"/>
      <c r="BB3" s="141"/>
      <c r="BC3" s="141"/>
      <c r="BD3" s="23"/>
      <c r="BF3" s="22"/>
      <c r="BG3" s="136" t="s">
        <v>383</v>
      </c>
      <c r="BH3" s="137"/>
      <c r="BI3" s="137"/>
      <c r="BJ3" s="137"/>
      <c r="BK3" s="137"/>
      <c r="BL3" s="137"/>
      <c r="BM3" s="137"/>
      <c r="BN3" s="137"/>
      <c r="BO3" s="137"/>
      <c r="BP3" s="137"/>
      <c r="BQ3" s="138"/>
      <c r="BR3" s="153" t="s">
        <v>384</v>
      </c>
      <c r="BS3" s="137"/>
      <c r="BT3" s="137"/>
      <c r="BU3" s="137"/>
      <c r="BV3" s="138"/>
      <c r="BW3" s="153" t="s">
        <v>393</v>
      </c>
      <c r="BX3" s="137"/>
      <c r="BY3" s="137"/>
      <c r="BZ3" s="137"/>
      <c r="CA3" s="160"/>
      <c r="CB3" s="23"/>
    </row>
    <row r="4" spans="2:80" x14ac:dyDescent="0.25">
      <c r="B4" s="22"/>
      <c r="C4" s="18" t="s">
        <v>218</v>
      </c>
      <c r="D4" s="88"/>
      <c r="E4" s="107"/>
      <c r="F4" s="89"/>
      <c r="G4" s="92"/>
      <c r="H4" s="93"/>
      <c r="I4" s="93"/>
      <c r="J4" s="94"/>
      <c r="K4" s="9"/>
      <c r="L4" s="8"/>
      <c r="M4" s="163"/>
      <c r="N4" s="164"/>
      <c r="O4" s="164"/>
      <c r="P4" s="165"/>
      <c r="Q4" s="10"/>
      <c r="R4" s="23"/>
      <c r="T4" s="22"/>
      <c r="U4" s="144"/>
      <c r="V4" s="145"/>
      <c r="W4" s="145"/>
      <c r="X4" s="145"/>
      <c r="Y4" s="145"/>
      <c r="Z4" s="145"/>
      <c r="AA4" s="145"/>
      <c r="AB4" s="145"/>
      <c r="AC4" s="145"/>
      <c r="AD4" s="145"/>
      <c r="AE4" s="145"/>
      <c r="AF4" s="145"/>
      <c r="AG4" s="145"/>
      <c r="AH4" s="180" t="str">
        <f t="shared" ref="AH4:AH9" si="0">IFERROR(SUM((AN4*20)+AK4),"-")</f>
        <v>-</v>
      </c>
      <c r="AI4" s="181"/>
      <c r="AJ4" s="181"/>
      <c r="AK4" s="182" t="str">
        <f>IFERROR(VLOOKUP(U4,Poderes!$A$2:$B$54,2,FALSE)+AN4,IFERROR((VLOOKUP(AD4,Poderes!D2:E6,2,FALSE)),"-"))</f>
        <v>-</v>
      </c>
      <c r="AL4" s="182"/>
      <c r="AM4" s="182"/>
      <c r="AN4" s="183"/>
      <c r="AO4" s="183"/>
      <c r="AP4" s="183"/>
      <c r="AQ4" s="192"/>
      <c r="AR4" s="193"/>
      <c r="AS4" s="192"/>
      <c r="AT4" s="289"/>
      <c r="AU4" s="289"/>
      <c r="AV4" s="289"/>
      <c r="AW4" s="289"/>
      <c r="AX4" s="289"/>
      <c r="AY4" s="289"/>
      <c r="AZ4" s="289"/>
      <c r="BA4" s="289"/>
      <c r="BB4" s="289"/>
      <c r="BC4" s="290"/>
      <c r="BD4" s="23"/>
      <c r="BF4" s="22"/>
      <c r="BG4" s="106"/>
      <c r="BH4" s="107"/>
      <c r="BI4" s="107"/>
      <c r="BJ4" s="107"/>
      <c r="BK4" s="107"/>
      <c r="BL4" s="107"/>
      <c r="BM4" s="107"/>
      <c r="BN4" s="107"/>
      <c r="BO4" s="107"/>
      <c r="BP4" s="107"/>
      <c r="BQ4" s="89"/>
      <c r="BR4" s="88"/>
      <c r="BS4" s="107"/>
      <c r="BT4" s="107"/>
      <c r="BU4" s="107"/>
      <c r="BV4" s="89"/>
      <c r="BW4" s="185" t="str">
        <f>IFERROR(VLOOKUP(BR4,Tecnoarmaduras!A9:B15,2,FALSE),"")</f>
        <v/>
      </c>
      <c r="BX4" s="186"/>
      <c r="BY4" s="186"/>
      <c r="BZ4" s="186"/>
      <c r="CA4" s="187"/>
      <c r="CB4" s="23"/>
    </row>
    <row r="5" spans="2:80" x14ac:dyDescent="0.25">
      <c r="B5" s="22"/>
      <c r="C5" s="18" t="s">
        <v>219</v>
      </c>
      <c r="D5" s="88" t="s">
        <v>148</v>
      </c>
      <c r="E5" s="107"/>
      <c r="F5" s="107"/>
      <c r="G5" s="92"/>
      <c r="H5" s="93"/>
      <c r="I5" s="93"/>
      <c r="J5" s="94"/>
      <c r="K5" s="9"/>
      <c r="L5" s="8"/>
      <c r="M5" s="166"/>
      <c r="N5" s="167"/>
      <c r="O5" s="167"/>
      <c r="P5" s="168"/>
      <c r="Q5" s="10"/>
      <c r="R5" s="23"/>
      <c r="T5" s="22"/>
      <c r="U5" s="98"/>
      <c r="V5" s="99"/>
      <c r="W5" s="99"/>
      <c r="X5" s="99"/>
      <c r="Y5" s="99"/>
      <c r="Z5" s="99"/>
      <c r="AA5" s="99"/>
      <c r="AB5" s="99"/>
      <c r="AC5" s="99"/>
      <c r="AD5" s="99"/>
      <c r="AE5" s="99"/>
      <c r="AF5" s="99"/>
      <c r="AG5" s="99"/>
      <c r="AH5" s="180" t="str">
        <f t="shared" si="0"/>
        <v>-</v>
      </c>
      <c r="AI5" s="181"/>
      <c r="AJ5" s="181"/>
      <c r="AK5" s="97" t="str">
        <f>IFERROR(VLOOKUP(U5,Poderes!$A$2:$B$54,2,FALSE)+AN5,IFERROR((VLOOKUP(AD5,Poderes!D2:E6,2,FALSE)),"-"))</f>
        <v>-</v>
      </c>
      <c r="AL5" s="97"/>
      <c r="AM5" s="97"/>
      <c r="AN5" s="121"/>
      <c r="AO5" s="121"/>
      <c r="AP5" s="121"/>
      <c r="AQ5" s="125"/>
      <c r="AR5" s="190"/>
      <c r="AS5" s="125"/>
      <c r="AT5" s="191"/>
      <c r="AU5" s="191"/>
      <c r="AV5" s="191"/>
      <c r="AW5" s="191"/>
      <c r="AX5" s="191"/>
      <c r="AY5" s="191"/>
      <c r="AZ5" s="191"/>
      <c r="BA5" s="191"/>
      <c r="BB5" s="191"/>
      <c r="BC5" s="126"/>
      <c r="BD5" s="23"/>
      <c r="BF5" s="22"/>
      <c r="BG5" s="106"/>
      <c r="BH5" s="107"/>
      <c r="BI5" s="107"/>
      <c r="BJ5" s="107"/>
      <c r="BK5" s="107"/>
      <c r="BL5" s="107"/>
      <c r="BM5" s="107"/>
      <c r="BN5" s="107"/>
      <c r="BO5" s="107"/>
      <c r="BP5" s="107"/>
      <c r="BQ5" s="89"/>
      <c r="BR5" s="88"/>
      <c r="BS5" s="107"/>
      <c r="BT5" s="107"/>
      <c r="BU5" s="107"/>
      <c r="BV5" s="89"/>
      <c r="BW5" s="185" t="str">
        <f>IFERROR(VLOOKUP(BR5,Tecnoarmaduras!A10:B16,2,FALSE),"")</f>
        <v/>
      </c>
      <c r="BX5" s="186"/>
      <c r="BY5" s="186"/>
      <c r="BZ5" s="186"/>
      <c r="CA5" s="187"/>
      <c r="CB5" s="23"/>
    </row>
    <row r="6" spans="2:80" x14ac:dyDescent="0.25">
      <c r="B6" s="22"/>
      <c r="C6" s="58"/>
      <c r="D6" s="51"/>
      <c r="E6" s="51"/>
      <c r="F6" s="52"/>
      <c r="G6" s="92"/>
      <c r="H6" s="93"/>
      <c r="I6" s="93"/>
      <c r="J6" s="94"/>
      <c r="K6" s="9"/>
      <c r="L6" s="8"/>
      <c r="M6" s="166"/>
      <c r="N6" s="167"/>
      <c r="O6" s="167"/>
      <c r="P6" s="168"/>
      <c r="Q6" s="10"/>
      <c r="R6" s="23"/>
      <c r="T6" s="22"/>
      <c r="U6" s="95"/>
      <c r="V6" s="93"/>
      <c r="W6" s="93"/>
      <c r="X6" s="93"/>
      <c r="Y6" s="93"/>
      <c r="Z6" s="93"/>
      <c r="AA6" s="93"/>
      <c r="AB6" s="93"/>
      <c r="AC6" s="96"/>
      <c r="AD6" s="92"/>
      <c r="AE6" s="93"/>
      <c r="AF6" s="93"/>
      <c r="AG6" s="96"/>
      <c r="AH6" s="180" t="str">
        <f t="shared" si="0"/>
        <v>-</v>
      </c>
      <c r="AI6" s="181"/>
      <c r="AJ6" s="181"/>
      <c r="AK6" s="97" t="str">
        <f>IFERROR(VLOOKUP(U6,Poderes!$A$2:$B$54,2,FALSE)+AN6,IFERROR((VLOOKUP(AD6,Poderes!D2:E6,2,FALSE)),"-"))</f>
        <v>-</v>
      </c>
      <c r="AL6" s="97"/>
      <c r="AM6" s="97"/>
      <c r="AN6" s="125"/>
      <c r="AO6" s="191"/>
      <c r="AP6" s="190"/>
      <c r="AQ6" s="125"/>
      <c r="AR6" s="190"/>
      <c r="AS6" s="125"/>
      <c r="AT6" s="191"/>
      <c r="AU6" s="191"/>
      <c r="AV6" s="191"/>
      <c r="AW6" s="191"/>
      <c r="AX6" s="191"/>
      <c r="AY6" s="191"/>
      <c r="AZ6" s="191"/>
      <c r="BA6" s="191"/>
      <c r="BB6" s="191"/>
      <c r="BC6" s="126"/>
      <c r="BD6" s="23"/>
      <c r="BF6" s="22"/>
      <c r="BG6" s="106"/>
      <c r="BH6" s="107"/>
      <c r="BI6" s="107"/>
      <c r="BJ6" s="107"/>
      <c r="BK6" s="107"/>
      <c r="BL6" s="107"/>
      <c r="BM6" s="107"/>
      <c r="BN6" s="107"/>
      <c r="BO6" s="107"/>
      <c r="BP6" s="107"/>
      <c r="BQ6" s="89"/>
      <c r="BR6" s="88"/>
      <c r="BS6" s="107"/>
      <c r="BT6" s="107"/>
      <c r="BU6" s="107"/>
      <c r="BV6" s="89"/>
      <c r="BW6" s="185"/>
      <c r="BX6" s="186"/>
      <c r="BY6" s="186"/>
      <c r="BZ6" s="186"/>
      <c r="CA6" s="187"/>
      <c r="CB6" s="23"/>
    </row>
    <row r="7" spans="2:80" x14ac:dyDescent="0.25">
      <c r="B7" s="22"/>
      <c r="C7" s="18" t="s">
        <v>530</v>
      </c>
      <c r="D7" s="44">
        <f>VLOOKUP(F7,'EXP-PCs'!A2:D21,2,TRUE)</f>
        <v>1</v>
      </c>
      <c r="E7" s="42" t="s">
        <v>528</v>
      </c>
      <c r="F7" s="46"/>
      <c r="G7" s="92"/>
      <c r="H7" s="93"/>
      <c r="I7" s="93"/>
      <c r="J7" s="94"/>
      <c r="K7" s="9"/>
      <c r="L7" s="8"/>
      <c r="M7" s="166"/>
      <c r="N7" s="167"/>
      <c r="O7" s="167"/>
      <c r="P7" s="168"/>
      <c r="Q7" s="10"/>
      <c r="R7" s="23"/>
      <c r="T7" s="22"/>
      <c r="U7" s="98"/>
      <c r="V7" s="99"/>
      <c r="W7" s="99"/>
      <c r="X7" s="99"/>
      <c r="Y7" s="99"/>
      <c r="Z7" s="99"/>
      <c r="AA7" s="99"/>
      <c r="AB7" s="99"/>
      <c r="AC7" s="99"/>
      <c r="AD7" s="99"/>
      <c r="AE7" s="99"/>
      <c r="AF7" s="99"/>
      <c r="AG7" s="99"/>
      <c r="AH7" s="180" t="str">
        <f t="shared" si="0"/>
        <v>-</v>
      </c>
      <c r="AI7" s="181"/>
      <c r="AJ7" s="181"/>
      <c r="AK7" s="97" t="str">
        <f>IFERROR(VLOOKUP(U7,Poderes!$A$2:$B$54,2,FALSE)+AN7,IFERROR((VLOOKUP(AD7,Poderes!D2:E6,2,FALSE)),"-"))</f>
        <v>-</v>
      </c>
      <c r="AL7" s="97"/>
      <c r="AM7" s="97"/>
      <c r="AN7" s="121"/>
      <c r="AO7" s="121"/>
      <c r="AP7" s="121"/>
      <c r="AQ7" s="125"/>
      <c r="AR7" s="190"/>
      <c r="AS7" s="125"/>
      <c r="AT7" s="191"/>
      <c r="AU7" s="191"/>
      <c r="AV7" s="191"/>
      <c r="AW7" s="191"/>
      <c r="AX7" s="191"/>
      <c r="AY7" s="191"/>
      <c r="AZ7" s="191"/>
      <c r="BA7" s="191"/>
      <c r="BB7" s="191"/>
      <c r="BC7" s="126"/>
      <c r="BD7" s="23"/>
      <c r="BF7" s="22"/>
      <c r="BG7" s="106"/>
      <c r="BH7" s="107"/>
      <c r="BI7" s="107"/>
      <c r="BJ7" s="107"/>
      <c r="BK7" s="107"/>
      <c r="BL7" s="107"/>
      <c r="BM7" s="107"/>
      <c r="BN7" s="107"/>
      <c r="BO7" s="107"/>
      <c r="BP7" s="107"/>
      <c r="BQ7" s="89"/>
      <c r="BR7" s="88"/>
      <c r="BS7" s="107"/>
      <c r="BT7" s="107"/>
      <c r="BU7" s="107"/>
      <c r="BV7" s="89"/>
      <c r="BW7" s="185"/>
      <c r="BX7" s="186"/>
      <c r="BY7" s="186"/>
      <c r="BZ7" s="186"/>
      <c r="CA7" s="187"/>
      <c r="CB7" s="23"/>
    </row>
    <row r="8" spans="2:80" x14ac:dyDescent="0.25">
      <c r="B8" s="22"/>
      <c r="C8" s="178" t="s">
        <v>532</v>
      </c>
      <c r="D8" s="173"/>
      <c r="E8" s="111">
        <f>IF(G4="Heraldo","N/A",IFERROR(VLOOKUP(D7+1,'EXP-PCs'!B2:C21,2,FALSE)-F7,"N/A"))</f>
        <v>20</v>
      </c>
      <c r="F8" s="112"/>
      <c r="G8" s="92"/>
      <c r="H8" s="93"/>
      <c r="I8" s="93"/>
      <c r="J8" s="94"/>
      <c r="K8" s="9"/>
      <c r="L8" s="8"/>
      <c r="M8" s="166"/>
      <c r="N8" s="167"/>
      <c r="O8" s="167"/>
      <c r="P8" s="168"/>
      <c r="Q8" s="10"/>
      <c r="R8" s="23"/>
      <c r="T8" s="22"/>
      <c r="U8" s="98"/>
      <c r="V8" s="99"/>
      <c r="W8" s="99"/>
      <c r="X8" s="99"/>
      <c r="Y8" s="99"/>
      <c r="Z8" s="99"/>
      <c r="AA8" s="99"/>
      <c r="AB8" s="99"/>
      <c r="AC8" s="99"/>
      <c r="AD8" s="99"/>
      <c r="AE8" s="99"/>
      <c r="AF8" s="99"/>
      <c r="AG8" s="99"/>
      <c r="AH8" s="180" t="str">
        <f t="shared" si="0"/>
        <v>-</v>
      </c>
      <c r="AI8" s="181"/>
      <c r="AJ8" s="181"/>
      <c r="AK8" s="97" t="str">
        <f>IFERROR(VLOOKUP(U8,Poderes!$A$2:$B$54,2,FALSE)+AN8,IFERROR((VLOOKUP(AD8,Poderes!D2:E6,2,FALSE)),"-"))</f>
        <v>-</v>
      </c>
      <c r="AL8" s="97"/>
      <c r="AM8" s="97"/>
      <c r="AN8" s="121"/>
      <c r="AO8" s="121"/>
      <c r="AP8" s="121"/>
      <c r="AQ8" s="125"/>
      <c r="AR8" s="190"/>
      <c r="AS8" s="125"/>
      <c r="AT8" s="191"/>
      <c r="AU8" s="191"/>
      <c r="AV8" s="191"/>
      <c r="AW8" s="191"/>
      <c r="AX8" s="191"/>
      <c r="AY8" s="191"/>
      <c r="AZ8" s="191"/>
      <c r="BA8" s="191"/>
      <c r="BB8" s="191"/>
      <c r="BC8" s="126"/>
      <c r="BD8" s="23"/>
      <c r="BF8" s="22"/>
      <c r="BG8" s="106"/>
      <c r="BH8" s="107"/>
      <c r="BI8" s="107"/>
      <c r="BJ8" s="107"/>
      <c r="BK8" s="107"/>
      <c r="BL8" s="107"/>
      <c r="BM8" s="107"/>
      <c r="BN8" s="107"/>
      <c r="BO8" s="107"/>
      <c r="BP8" s="107"/>
      <c r="BQ8" s="89"/>
      <c r="BR8" s="88"/>
      <c r="BS8" s="107"/>
      <c r="BT8" s="107"/>
      <c r="BU8" s="107"/>
      <c r="BV8" s="89"/>
      <c r="BW8" s="185"/>
      <c r="BX8" s="186"/>
      <c r="BY8" s="186"/>
      <c r="BZ8" s="186"/>
      <c r="CA8" s="187"/>
      <c r="CB8" s="23"/>
    </row>
    <row r="9" spans="2:80" x14ac:dyDescent="0.25">
      <c r="B9" s="22"/>
      <c r="C9" s="58"/>
      <c r="D9" s="174"/>
      <c r="E9" s="174"/>
      <c r="F9" s="175"/>
      <c r="G9" s="172" t="s">
        <v>561</v>
      </c>
      <c r="H9" s="173"/>
      <c r="I9" s="92"/>
      <c r="J9" s="94"/>
      <c r="K9" s="9"/>
      <c r="L9" s="8"/>
      <c r="M9" s="166"/>
      <c r="N9" s="167"/>
      <c r="O9" s="167"/>
      <c r="P9" s="168"/>
      <c r="Q9" s="10"/>
      <c r="R9" s="23"/>
      <c r="T9" s="22"/>
      <c r="U9" s="98"/>
      <c r="V9" s="99"/>
      <c r="W9" s="99"/>
      <c r="X9" s="99"/>
      <c r="Y9" s="99"/>
      <c r="Z9" s="99"/>
      <c r="AA9" s="99"/>
      <c r="AB9" s="99"/>
      <c r="AC9" s="99"/>
      <c r="AD9" s="99"/>
      <c r="AE9" s="99"/>
      <c r="AF9" s="99"/>
      <c r="AG9" s="99"/>
      <c r="AH9" s="180" t="str">
        <f t="shared" si="0"/>
        <v>-</v>
      </c>
      <c r="AI9" s="181"/>
      <c r="AJ9" s="181"/>
      <c r="AK9" s="97" t="str">
        <f>IFERROR(VLOOKUP(U9,Poderes!$A$2:$B$54,2,FALSE)+AN9,IFERROR((VLOOKUP(AD9,Poderes!D2:E6,2,FALSE)),"-"))</f>
        <v>-</v>
      </c>
      <c r="AL9" s="97"/>
      <c r="AM9" s="97"/>
      <c r="AN9" s="121"/>
      <c r="AO9" s="121"/>
      <c r="AP9" s="121"/>
      <c r="AQ9" s="125"/>
      <c r="AR9" s="190"/>
      <c r="AS9" s="125"/>
      <c r="AT9" s="191"/>
      <c r="AU9" s="191"/>
      <c r="AV9" s="191"/>
      <c r="AW9" s="191"/>
      <c r="AX9" s="191"/>
      <c r="AY9" s="191"/>
      <c r="AZ9" s="191"/>
      <c r="BA9" s="191"/>
      <c r="BB9" s="191"/>
      <c r="BC9" s="126"/>
      <c r="BD9" s="23"/>
      <c r="BF9" s="22"/>
      <c r="BG9" s="106"/>
      <c r="BH9" s="107"/>
      <c r="BI9" s="107"/>
      <c r="BJ9" s="107"/>
      <c r="BK9" s="107"/>
      <c r="BL9" s="107"/>
      <c r="BM9" s="107"/>
      <c r="BN9" s="107"/>
      <c r="BO9" s="107"/>
      <c r="BP9" s="107"/>
      <c r="BQ9" s="89"/>
      <c r="BR9" s="88"/>
      <c r="BS9" s="107"/>
      <c r="BT9" s="107"/>
      <c r="BU9" s="107"/>
      <c r="BV9" s="89"/>
      <c r="BW9" s="185"/>
      <c r="BX9" s="186"/>
      <c r="BY9" s="186"/>
      <c r="BZ9" s="186"/>
      <c r="CA9" s="187"/>
      <c r="CB9" s="23"/>
    </row>
    <row r="10" spans="2:80" x14ac:dyDescent="0.25">
      <c r="B10" s="22"/>
      <c r="C10" s="8"/>
      <c r="D10" s="9"/>
      <c r="E10" s="9"/>
      <c r="F10" s="9"/>
      <c r="G10" s="9"/>
      <c r="H10" s="9"/>
      <c r="I10" s="9"/>
      <c r="J10" s="10"/>
      <c r="K10" s="9"/>
      <c r="L10" s="8"/>
      <c r="M10" s="166"/>
      <c r="N10" s="167"/>
      <c r="O10" s="167"/>
      <c r="P10" s="168"/>
      <c r="Q10" s="10"/>
      <c r="R10" s="23"/>
      <c r="T10" s="22"/>
      <c r="U10" s="98"/>
      <c r="V10" s="99"/>
      <c r="W10" s="99"/>
      <c r="X10" s="99"/>
      <c r="Y10" s="99"/>
      <c r="Z10" s="99"/>
      <c r="AA10" s="99"/>
      <c r="AB10" s="99"/>
      <c r="AC10" s="99"/>
      <c r="AD10" s="99"/>
      <c r="AE10" s="99"/>
      <c r="AF10" s="99"/>
      <c r="AG10" s="99"/>
      <c r="AH10" s="180" t="str">
        <f>IFERROR(SUM((AN10*20)+AK10),"-")</f>
        <v>-</v>
      </c>
      <c r="AI10" s="181"/>
      <c r="AJ10" s="181"/>
      <c r="AK10" s="97" t="str">
        <f>IFERROR(VLOOKUP(U10,Poderes!$A$2:$B$54,2,FALSE)+AN10,IFERROR((VLOOKUP(AD10,Poderes!D2:E6,2,FALSE)),"-"))</f>
        <v>-</v>
      </c>
      <c r="AL10" s="97"/>
      <c r="AM10" s="97"/>
      <c r="AN10" s="121"/>
      <c r="AO10" s="121"/>
      <c r="AP10" s="121"/>
      <c r="AQ10" s="125"/>
      <c r="AR10" s="190"/>
      <c r="AS10" s="125"/>
      <c r="AT10" s="191"/>
      <c r="AU10" s="191"/>
      <c r="AV10" s="191"/>
      <c r="AW10" s="191"/>
      <c r="AX10" s="191"/>
      <c r="AY10" s="191"/>
      <c r="AZ10" s="191"/>
      <c r="BA10" s="191"/>
      <c r="BB10" s="191"/>
      <c r="BC10" s="126"/>
      <c r="BD10" s="23"/>
      <c r="BF10" s="22"/>
      <c r="BG10" s="115"/>
      <c r="BH10" s="116"/>
      <c r="BI10" s="116"/>
      <c r="BJ10" s="116"/>
      <c r="BK10" s="116"/>
      <c r="BL10" s="116"/>
      <c r="BM10" s="116"/>
      <c r="BN10" s="116"/>
      <c r="BO10" s="116"/>
      <c r="BP10" s="116"/>
      <c r="BQ10" s="116"/>
      <c r="BR10" s="116"/>
      <c r="BS10" s="116"/>
      <c r="BT10" s="116"/>
      <c r="BU10" s="116"/>
      <c r="BV10" s="116"/>
      <c r="BW10" s="139"/>
      <c r="BX10" s="139"/>
      <c r="BY10" s="139"/>
      <c r="BZ10" s="139"/>
      <c r="CA10" s="154"/>
      <c r="CB10" s="23"/>
    </row>
    <row r="11" spans="2:80" x14ac:dyDescent="0.25">
      <c r="B11" s="22"/>
      <c r="C11" s="8"/>
      <c r="D11" s="16" t="s">
        <v>523</v>
      </c>
      <c r="E11" s="16" t="s">
        <v>529</v>
      </c>
      <c r="F11" s="16" t="s">
        <v>524</v>
      </c>
      <c r="G11" s="16" t="s">
        <v>531</v>
      </c>
      <c r="H11" s="40" t="s">
        <v>525</v>
      </c>
      <c r="I11" s="113" t="s">
        <v>538</v>
      </c>
      <c r="J11" s="114"/>
      <c r="K11" s="9"/>
      <c r="L11" s="8"/>
      <c r="M11" s="166"/>
      <c r="N11" s="167"/>
      <c r="O11" s="167"/>
      <c r="P11" s="168"/>
      <c r="Q11" s="10"/>
      <c r="R11" s="23"/>
      <c r="T11" s="22"/>
      <c r="U11" s="155" t="str">
        <f>_xlfn.IFS(D4=Origen!D1,Poderes!A54,G4=Origen!H2,Poderes!A47,G4=Origen!H3,Poderes!A47,TRUE,"")</f>
        <v/>
      </c>
      <c r="V11" s="156"/>
      <c r="W11" s="156"/>
      <c r="X11" s="156"/>
      <c r="Y11" s="156"/>
      <c r="Z11" s="156"/>
      <c r="AA11" s="156"/>
      <c r="AB11" s="156"/>
      <c r="AC11" s="156"/>
      <c r="AD11" s="110"/>
      <c r="AE11" s="110"/>
      <c r="AF11" s="110"/>
      <c r="AG11" s="110"/>
      <c r="AH11" s="180" t="str">
        <f>IFERROR(SUM((AN11*20)+AK11),"-")</f>
        <v>-</v>
      </c>
      <c r="AI11" s="181"/>
      <c r="AJ11" s="181"/>
      <c r="AK11" s="97" t="str">
        <f>IFERROR(VLOOKUP(U11,Poderes!$A$2:$B$54,2,FALSE)+AN11,IFERROR((VLOOKUP(AD11,Poderes!D2:E6,2,FALSE)),IFERROR(VLOOKUP(AD11,Poderes!D2:F6,2,FALSE),"-")))</f>
        <v>-</v>
      </c>
      <c r="AL11" s="97"/>
      <c r="AM11" s="97"/>
      <c r="AN11" s="184"/>
      <c r="AO11" s="184"/>
      <c r="AP11" s="184"/>
      <c r="AQ11" s="188"/>
      <c r="AR11" s="189"/>
      <c r="AS11" s="188" t="str">
        <f>_xlfn.IFS(G4=Origen!H2,C30,G4=Origen!H3,Ficha!C25,TRUE,"")</f>
        <v/>
      </c>
      <c r="AT11" s="291"/>
      <c r="AU11" s="291"/>
      <c r="AV11" s="291"/>
      <c r="AW11" s="291"/>
      <c r="AX11" s="291"/>
      <c r="AY11" s="291"/>
      <c r="AZ11" s="291"/>
      <c r="BA11" s="291"/>
      <c r="BB11" s="291"/>
      <c r="BC11" s="292"/>
      <c r="BD11" s="23"/>
      <c r="BF11" s="22"/>
      <c r="BG11" s="115"/>
      <c r="BH11" s="116"/>
      <c r="BI11" s="116"/>
      <c r="BJ11" s="116"/>
      <c r="BK11" s="116"/>
      <c r="BL11" s="116"/>
      <c r="BM11" s="116"/>
      <c r="BN11" s="116"/>
      <c r="BO11" s="116"/>
      <c r="BP11" s="116"/>
      <c r="BQ11" s="116"/>
      <c r="BR11" s="116"/>
      <c r="BS11" s="116"/>
      <c r="BT11" s="116"/>
      <c r="BU11" s="116"/>
      <c r="BV11" s="116"/>
      <c r="BW11" s="139"/>
      <c r="BX11" s="139"/>
      <c r="BY11" s="139"/>
      <c r="BZ11" s="139"/>
      <c r="CA11" s="154"/>
      <c r="CB11" s="23"/>
    </row>
    <row r="12" spans="2:80" x14ac:dyDescent="0.25">
      <c r="B12" s="22"/>
      <c r="C12" s="18" t="s">
        <v>522</v>
      </c>
      <c r="D12" s="41">
        <f>F12-E12</f>
        <v>0</v>
      </c>
      <c r="E12" s="41">
        <f>SUM('EXP-PCs'!I3:I21)+(SUM(O21:O27)/10)+Poderes!F8+Poderes!F9+VLOOKUP(AV13,Origen!A33:B37,2,FALSE)</f>
        <v>0</v>
      </c>
      <c r="F12" s="41">
        <f>H12+G12</f>
        <v>0</v>
      </c>
      <c r="G12" s="29">
        <f>VLOOKUP(D7,'EXP-PCs'!B2:D21,3,FALSE)+SUM('EXP-PCs'!M2:M46)+SUM('EXP-PCs'!P2:P5)+SUM(N39:N41)+Poderes!F10</f>
        <v>0</v>
      </c>
      <c r="H12" s="15"/>
      <c r="I12" s="92"/>
      <c r="J12" s="94"/>
      <c r="K12" s="9"/>
      <c r="L12" s="8"/>
      <c r="M12" s="166"/>
      <c r="N12" s="167"/>
      <c r="O12" s="167"/>
      <c r="P12" s="168"/>
      <c r="Q12" s="10"/>
      <c r="R12" s="23"/>
      <c r="T12" s="22"/>
      <c r="BD12" s="23"/>
      <c r="BF12" s="22"/>
      <c r="BG12" s="115"/>
      <c r="BH12" s="116"/>
      <c r="BI12" s="116"/>
      <c r="BJ12" s="116"/>
      <c r="BK12" s="116"/>
      <c r="BL12" s="116"/>
      <c r="BM12" s="116"/>
      <c r="BN12" s="116"/>
      <c r="BO12" s="116"/>
      <c r="BP12" s="116"/>
      <c r="BQ12" s="116"/>
      <c r="BR12" s="116"/>
      <c r="BS12" s="116"/>
      <c r="BT12" s="116"/>
      <c r="BU12" s="116"/>
      <c r="BV12" s="116"/>
      <c r="BW12" s="139"/>
      <c r="BX12" s="139"/>
      <c r="BY12" s="139"/>
      <c r="BZ12" s="139"/>
      <c r="CA12" s="154"/>
      <c r="CB12" s="23"/>
    </row>
    <row r="13" spans="2:80" x14ac:dyDescent="0.25">
      <c r="B13" s="22"/>
      <c r="C13" s="8"/>
      <c r="D13" s="9"/>
      <c r="E13" s="9"/>
      <c r="F13" s="9"/>
      <c r="G13" s="9"/>
      <c r="H13" s="9"/>
      <c r="I13" s="9"/>
      <c r="J13" s="10"/>
      <c r="K13" s="9"/>
      <c r="L13" s="8"/>
      <c r="M13" s="166"/>
      <c r="N13" s="167"/>
      <c r="O13" s="167"/>
      <c r="P13" s="168"/>
      <c r="Q13" s="10"/>
      <c r="R13" s="23"/>
      <c r="T13" s="22"/>
      <c r="U13" s="141" t="s">
        <v>337</v>
      </c>
      <c r="V13" s="179"/>
      <c r="W13" s="179"/>
      <c r="X13" s="179"/>
      <c r="Y13" s="179"/>
      <c r="Z13" s="179"/>
      <c r="AA13" s="179"/>
      <c r="AB13" s="179"/>
      <c r="AC13" s="179"/>
      <c r="AD13" s="179"/>
      <c r="AE13" s="141" t="s">
        <v>340</v>
      </c>
      <c r="AF13" s="141"/>
      <c r="AG13" s="141"/>
      <c r="AH13" s="9"/>
      <c r="AI13" s="210" t="s">
        <v>688</v>
      </c>
      <c r="AJ13" s="211"/>
      <c r="AK13" s="211"/>
      <c r="AL13" s="211"/>
      <c r="AM13" s="211"/>
      <c r="AN13" s="211"/>
      <c r="AO13" s="212"/>
      <c r="AP13" s="141" t="s">
        <v>689</v>
      </c>
      <c r="AQ13" s="141"/>
      <c r="AR13" s="141"/>
      <c r="AS13" s="141"/>
      <c r="AT13" s="141"/>
      <c r="AU13" s="141"/>
      <c r="AV13" s="293" t="s">
        <v>695</v>
      </c>
      <c r="AW13" s="293"/>
      <c r="AX13" s="293"/>
      <c r="AY13" s="293"/>
      <c r="AZ13" s="293"/>
      <c r="BA13" s="293"/>
      <c r="BB13" s="293"/>
      <c r="BC13" s="293"/>
      <c r="BD13" s="23"/>
      <c r="BF13" s="22"/>
      <c r="BG13" s="115"/>
      <c r="BH13" s="116"/>
      <c r="BI13" s="116"/>
      <c r="BJ13" s="116"/>
      <c r="BK13" s="116"/>
      <c r="BL13" s="116"/>
      <c r="BM13" s="116"/>
      <c r="BN13" s="116"/>
      <c r="BO13" s="116"/>
      <c r="BP13" s="116"/>
      <c r="BQ13" s="116"/>
      <c r="BR13" s="116"/>
      <c r="BS13" s="116"/>
      <c r="BT13" s="116"/>
      <c r="BU13" s="116"/>
      <c r="BV13" s="116"/>
      <c r="BW13" s="139"/>
      <c r="BX13" s="139"/>
      <c r="BY13" s="139"/>
      <c r="BZ13" s="139"/>
      <c r="CA13" s="154"/>
      <c r="CB13" s="23"/>
    </row>
    <row r="14" spans="2:80" ht="15" customHeight="1" x14ac:dyDescent="0.25">
      <c r="B14" s="22"/>
      <c r="C14" s="43"/>
      <c r="D14" s="36"/>
      <c r="E14" s="40" t="s">
        <v>312</v>
      </c>
      <c r="F14" s="40" t="s">
        <v>224</v>
      </c>
      <c r="G14" s="40" t="s">
        <v>548</v>
      </c>
      <c r="H14" s="40" t="s">
        <v>536</v>
      </c>
      <c r="I14" s="9"/>
      <c r="J14" s="10"/>
      <c r="K14" s="9"/>
      <c r="L14" s="8"/>
      <c r="M14" s="166"/>
      <c r="N14" s="167"/>
      <c r="O14" s="167"/>
      <c r="P14" s="168"/>
      <c r="Q14" s="10"/>
      <c r="R14" s="23"/>
      <c r="T14" s="22"/>
      <c r="U14" s="100"/>
      <c r="V14" s="101"/>
      <c r="W14" s="101"/>
      <c r="X14" s="101"/>
      <c r="Y14" s="101"/>
      <c r="Z14" s="101"/>
      <c r="AA14" s="101"/>
      <c r="AB14" s="101"/>
      <c r="AC14" s="101"/>
      <c r="AD14" s="102"/>
      <c r="AE14" s="103"/>
      <c r="AF14" s="104"/>
      <c r="AG14" s="105"/>
      <c r="AI14" s="229" t="s">
        <v>733</v>
      </c>
      <c r="AJ14" s="230"/>
      <c r="AK14" s="230"/>
      <c r="AL14" s="230"/>
      <c r="AM14" s="230"/>
      <c r="AN14" s="231"/>
      <c r="AO14" s="217" t="s">
        <v>730</v>
      </c>
      <c r="AP14" s="217"/>
      <c r="AQ14" s="217"/>
      <c r="AR14" s="217"/>
      <c r="AS14" s="217"/>
      <c r="AT14" s="217" t="s">
        <v>731</v>
      </c>
      <c r="AU14" s="217"/>
      <c r="AV14" s="217"/>
      <c r="AW14" s="217"/>
      <c r="AX14" s="217"/>
      <c r="AY14" s="217"/>
      <c r="AZ14" s="217"/>
      <c r="BA14" s="217"/>
      <c r="BB14" s="217"/>
      <c r="BC14" s="218"/>
      <c r="BD14" s="23"/>
      <c r="BF14" s="22"/>
      <c r="BG14" s="115"/>
      <c r="BH14" s="116"/>
      <c r="BI14" s="116"/>
      <c r="BJ14" s="116"/>
      <c r="BK14" s="116"/>
      <c r="BL14" s="116"/>
      <c r="BM14" s="116"/>
      <c r="BN14" s="116"/>
      <c r="BO14" s="116"/>
      <c r="BP14" s="116"/>
      <c r="BQ14" s="116"/>
      <c r="BR14" s="116"/>
      <c r="BS14" s="116"/>
      <c r="BT14" s="116"/>
      <c r="BU14" s="116"/>
      <c r="BV14" s="116"/>
      <c r="BW14" s="139"/>
      <c r="BX14" s="139"/>
      <c r="BY14" s="139"/>
      <c r="BZ14" s="139"/>
      <c r="CA14" s="154"/>
      <c r="CB14" s="23"/>
    </row>
    <row r="15" spans="2:80" x14ac:dyDescent="0.25">
      <c r="B15" s="22"/>
      <c r="C15" s="176" t="s">
        <v>533</v>
      </c>
      <c r="D15" s="177"/>
      <c r="E15" s="29">
        <f>F15-G15</f>
        <v>0</v>
      </c>
      <c r="F15" s="29">
        <f>IF(N22&lt;101,N22/2,N22-VLOOKUP(N22,Constitución!A2:D102,2,FALSE))+H15</f>
        <v>0</v>
      </c>
      <c r="G15" s="15">
        <v>0</v>
      </c>
      <c r="H15" s="15"/>
      <c r="I15" s="9"/>
      <c r="J15" s="10"/>
      <c r="K15" s="9"/>
      <c r="L15" s="8"/>
      <c r="M15" s="169"/>
      <c r="N15" s="170"/>
      <c r="O15" s="170"/>
      <c r="P15" s="171"/>
      <c r="Q15" s="10"/>
      <c r="R15" s="23"/>
      <c r="T15" s="22"/>
      <c r="U15" s="106"/>
      <c r="V15" s="107"/>
      <c r="W15" s="107"/>
      <c r="X15" s="107"/>
      <c r="Y15" s="107"/>
      <c r="Z15" s="107"/>
      <c r="AA15" s="107"/>
      <c r="AB15" s="107"/>
      <c r="AC15" s="107"/>
      <c r="AD15" s="89"/>
      <c r="AE15" s="92"/>
      <c r="AF15" s="93"/>
      <c r="AG15" s="94"/>
      <c r="AH15" s="9"/>
      <c r="AI15" s="295"/>
      <c r="AJ15" s="296"/>
      <c r="AK15" s="296"/>
      <c r="AL15" s="296"/>
      <c r="AM15" s="296"/>
      <c r="AN15" s="297"/>
      <c r="AO15" s="125" t="s">
        <v>697</v>
      </c>
      <c r="AP15" s="191"/>
      <c r="AQ15" s="191"/>
      <c r="AR15" s="191"/>
      <c r="AS15" s="190"/>
      <c r="AT15" s="88"/>
      <c r="AU15" s="107"/>
      <c r="AV15" s="107"/>
      <c r="AW15" s="107"/>
      <c r="AX15" s="107"/>
      <c r="AY15" s="107"/>
      <c r="AZ15" s="107"/>
      <c r="BA15" s="107"/>
      <c r="BB15" s="107"/>
      <c r="BC15" s="294"/>
      <c r="BD15" s="23"/>
      <c r="BF15" s="22"/>
      <c r="BG15" s="115"/>
      <c r="BH15" s="116"/>
      <c r="BI15" s="116"/>
      <c r="BJ15" s="116"/>
      <c r="BK15" s="116"/>
      <c r="BL15" s="116"/>
      <c r="BM15" s="116"/>
      <c r="BN15" s="116"/>
      <c r="BO15" s="116"/>
      <c r="BP15" s="116"/>
      <c r="BQ15" s="116"/>
      <c r="BR15" s="116"/>
      <c r="BS15" s="116"/>
      <c r="BT15" s="116"/>
      <c r="BU15" s="116"/>
      <c r="BV15" s="116"/>
      <c r="BW15" s="139"/>
      <c r="BX15" s="139"/>
      <c r="BY15" s="139"/>
      <c r="BZ15" s="139"/>
      <c r="CA15" s="154"/>
      <c r="CB15" s="23"/>
    </row>
    <row r="16" spans="2:80" ht="15" customHeight="1" x14ac:dyDescent="0.25">
      <c r="B16" s="22"/>
      <c r="C16" s="176" t="s">
        <v>535</v>
      </c>
      <c r="D16" s="177"/>
      <c r="E16" s="35">
        <f>F16-G16</f>
        <v>0</v>
      </c>
      <c r="F16" s="35">
        <f>N24+H16</f>
        <v>0</v>
      </c>
      <c r="G16" s="15">
        <v>0</v>
      </c>
      <c r="H16" s="15"/>
      <c r="I16" s="9"/>
      <c r="J16" s="10"/>
      <c r="K16" s="9"/>
      <c r="L16" s="8"/>
      <c r="M16" s="9"/>
      <c r="N16" s="9"/>
      <c r="O16" s="9"/>
      <c r="P16" s="9"/>
      <c r="Q16" s="10"/>
      <c r="R16" s="23"/>
      <c r="T16" s="22"/>
      <c r="U16" s="106"/>
      <c r="V16" s="107"/>
      <c r="W16" s="107"/>
      <c r="X16" s="107"/>
      <c r="Y16" s="107"/>
      <c r="Z16" s="107"/>
      <c r="AA16" s="107"/>
      <c r="AB16" s="107"/>
      <c r="AC16" s="107"/>
      <c r="AD16" s="89"/>
      <c r="AE16" s="92"/>
      <c r="AF16" s="93"/>
      <c r="AG16" s="94"/>
      <c r="AH16" s="9"/>
      <c r="AI16" s="232"/>
      <c r="AJ16" s="233"/>
      <c r="AK16" s="233"/>
      <c r="AL16" s="233"/>
      <c r="AM16" s="233"/>
      <c r="AN16" s="234"/>
      <c r="AO16" s="198" t="s">
        <v>698</v>
      </c>
      <c r="AP16" s="199"/>
      <c r="AQ16" s="199"/>
      <c r="AR16" s="199"/>
      <c r="AS16" s="200"/>
      <c r="AT16" s="90"/>
      <c r="AU16" s="201"/>
      <c r="AV16" s="201"/>
      <c r="AW16" s="201"/>
      <c r="AX16" s="201"/>
      <c r="AY16" s="201"/>
      <c r="AZ16" s="201"/>
      <c r="BA16" s="201"/>
      <c r="BB16" s="201"/>
      <c r="BC16" s="202"/>
      <c r="BD16" s="23"/>
      <c r="BF16" s="22"/>
      <c r="BG16" s="115"/>
      <c r="BH16" s="116"/>
      <c r="BI16" s="116"/>
      <c r="BJ16" s="116"/>
      <c r="BK16" s="116"/>
      <c r="BL16" s="116"/>
      <c r="BM16" s="116"/>
      <c r="BN16" s="116"/>
      <c r="BO16" s="116"/>
      <c r="BP16" s="116"/>
      <c r="BQ16" s="116"/>
      <c r="BR16" s="116"/>
      <c r="BS16" s="116"/>
      <c r="BT16" s="116"/>
      <c r="BU16" s="116"/>
      <c r="BV16" s="116"/>
      <c r="BW16" s="139"/>
      <c r="BX16" s="139"/>
      <c r="BY16" s="139"/>
      <c r="BZ16" s="139"/>
      <c r="CA16" s="154"/>
      <c r="CB16" s="23"/>
    </row>
    <row r="17" spans="2:80" ht="15" customHeight="1" x14ac:dyDescent="0.25">
      <c r="B17" s="22"/>
      <c r="C17" s="8"/>
      <c r="D17" s="9"/>
      <c r="E17" s="16" t="s">
        <v>224</v>
      </c>
      <c r="F17" s="9"/>
      <c r="G17" s="9"/>
      <c r="H17" s="16" t="s">
        <v>224</v>
      </c>
      <c r="I17" s="16" t="s">
        <v>312</v>
      </c>
      <c r="J17" s="60" t="s">
        <v>536</v>
      </c>
      <c r="K17" s="9"/>
      <c r="L17" s="8"/>
      <c r="M17" s="9" t="s">
        <v>116</v>
      </c>
      <c r="N17" s="150"/>
      <c r="O17" s="150"/>
      <c r="P17" s="150"/>
      <c r="Q17" s="10"/>
      <c r="R17" s="23"/>
      <c r="T17" s="22"/>
      <c r="U17" s="106"/>
      <c r="V17" s="107"/>
      <c r="W17" s="107"/>
      <c r="X17" s="107"/>
      <c r="Y17" s="107"/>
      <c r="Z17" s="107"/>
      <c r="AA17" s="107"/>
      <c r="AB17" s="107"/>
      <c r="AC17" s="107"/>
      <c r="AD17" s="89"/>
      <c r="AE17" s="92"/>
      <c r="AF17" s="93"/>
      <c r="AG17" s="94"/>
      <c r="AH17" s="9"/>
      <c r="AI17" s="229" t="s">
        <v>707</v>
      </c>
      <c r="AJ17" s="230"/>
      <c r="AK17" s="230"/>
      <c r="AL17" s="230"/>
      <c r="AM17" s="230"/>
      <c r="AN17" s="231"/>
      <c r="AO17" s="217" t="s">
        <v>588</v>
      </c>
      <c r="AP17" s="217"/>
      <c r="AQ17" s="217"/>
      <c r="AR17" s="217" t="s">
        <v>102</v>
      </c>
      <c r="AS17" s="217"/>
      <c r="AT17" s="217" t="s">
        <v>708</v>
      </c>
      <c r="AU17" s="217"/>
      <c r="AV17" s="217"/>
      <c r="AW17" s="217"/>
      <c r="AX17" s="217" t="s">
        <v>711</v>
      </c>
      <c r="AY17" s="217"/>
      <c r="AZ17" s="217"/>
      <c r="BA17" s="217" t="s">
        <v>709</v>
      </c>
      <c r="BB17" s="217"/>
      <c r="BC17" s="218"/>
      <c r="BD17" s="23"/>
      <c r="BF17" s="22"/>
      <c r="BG17" s="115"/>
      <c r="BH17" s="116"/>
      <c r="BI17" s="116"/>
      <c r="BJ17" s="116"/>
      <c r="BK17" s="116"/>
      <c r="BL17" s="116"/>
      <c r="BM17" s="116"/>
      <c r="BN17" s="116"/>
      <c r="BO17" s="116"/>
      <c r="BP17" s="116"/>
      <c r="BQ17" s="116"/>
      <c r="BR17" s="116"/>
      <c r="BS17" s="116"/>
      <c r="BT17" s="116"/>
      <c r="BU17" s="116"/>
      <c r="BV17" s="116"/>
      <c r="BW17" s="139"/>
      <c r="BX17" s="139"/>
      <c r="BY17" s="139"/>
      <c r="BZ17" s="139"/>
      <c r="CA17" s="154"/>
      <c r="CB17" s="23"/>
    </row>
    <row r="18" spans="2:80" x14ac:dyDescent="0.25">
      <c r="B18" s="22"/>
      <c r="C18" s="106" t="s">
        <v>115</v>
      </c>
      <c r="D18" s="89"/>
      <c r="E18" s="31">
        <f>E15/10</f>
        <v>0</v>
      </c>
      <c r="F18" s="88" t="s">
        <v>117</v>
      </c>
      <c r="G18" s="107"/>
      <c r="H18" s="67">
        <f>I18+J18</f>
        <v>60</v>
      </c>
      <c r="I18" s="65">
        <v>60</v>
      </c>
      <c r="J18" s="61"/>
      <c r="K18" s="9"/>
      <c r="L18" s="11"/>
      <c r="M18" s="4"/>
      <c r="N18" s="4"/>
      <c r="O18" s="4"/>
      <c r="P18" s="4"/>
      <c r="Q18" s="12"/>
      <c r="R18" s="23"/>
      <c r="T18" s="22"/>
      <c r="U18" s="106"/>
      <c r="V18" s="107"/>
      <c r="W18" s="107"/>
      <c r="X18" s="107"/>
      <c r="Y18" s="107"/>
      <c r="Z18" s="107"/>
      <c r="AA18" s="107"/>
      <c r="AB18" s="107"/>
      <c r="AC18" s="107"/>
      <c r="AD18" s="89"/>
      <c r="AE18" s="92"/>
      <c r="AF18" s="93"/>
      <c r="AG18" s="94"/>
      <c r="AH18" s="9"/>
      <c r="AI18" s="232"/>
      <c r="AJ18" s="233"/>
      <c r="AK18" s="233"/>
      <c r="AL18" s="233"/>
      <c r="AM18" s="233"/>
      <c r="AN18" s="234"/>
      <c r="AO18" s="207"/>
      <c r="AP18" s="298"/>
      <c r="AQ18" s="208"/>
      <c r="AR18" s="203" t="str">
        <f>IFERROR(VLOOKUP(AO18,Origen!E53:J58,2,FALSE),"-")</f>
        <v>-</v>
      </c>
      <c r="AS18" s="204"/>
      <c r="AT18" s="203" t="str">
        <f>IFERROR(VLOOKUP(AO18,Origen!E53:J58,3,FALSE),"-")</f>
        <v>-</v>
      </c>
      <c r="AU18" s="206"/>
      <c r="AV18" s="206"/>
      <c r="AW18" s="204"/>
      <c r="AX18" s="203" t="str">
        <f>IFERROR(VLOOKUP(AO18,Origen!E53:J58,4,FALSE),"-")</f>
        <v>-</v>
      </c>
      <c r="AY18" s="206"/>
      <c r="AZ18" s="204"/>
      <c r="BA18" s="203" t="str">
        <f>IFERROR(VLOOKUP(AO18,Origen!E53:J58,5,FALSE),"-")</f>
        <v>-</v>
      </c>
      <c r="BB18" s="206"/>
      <c r="BC18" s="219"/>
      <c r="BD18" s="23"/>
      <c r="BF18" s="22"/>
      <c r="BG18" s="115"/>
      <c r="BH18" s="116"/>
      <c r="BI18" s="116"/>
      <c r="BJ18" s="116"/>
      <c r="BK18" s="116"/>
      <c r="BL18" s="116"/>
      <c r="BM18" s="116"/>
      <c r="BN18" s="116"/>
      <c r="BO18" s="116"/>
      <c r="BP18" s="116"/>
      <c r="BQ18" s="116"/>
      <c r="BR18" s="116"/>
      <c r="BS18" s="116"/>
      <c r="BT18" s="116"/>
      <c r="BU18" s="116"/>
      <c r="BV18" s="116"/>
      <c r="BW18" s="139"/>
      <c r="BX18" s="139"/>
      <c r="BY18" s="139"/>
      <c r="BZ18" s="139"/>
      <c r="CA18" s="154"/>
      <c r="CB18" s="23"/>
    </row>
    <row r="19" spans="2:80" x14ac:dyDescent="0.25">
      <c r="B19" s="22"/>
      <c r="C19" s="106" t="s">
        <v>227</v>
      </c>
      <c r="D19" s="89"/>
      <c r="E19" s="31">
        <f>IF(N22&lt;100,1,VLOOKUP(N22,Constitución!A2:D102,4,FALSE))</f>
        <v>1</v>
      </c>
      <c r="F19" s="88" t="s">
        <v>226</v>
      </c>
      <c r="G19" s="89"/>
      <c r="H19" s="66">
        <f>O22/3</f>
        <v>0</v>
      </c>
      <c r="I19" s="9"/>
      <c r="J19" s="10"/>
      <c r="K19" s="9"/>
      <c r="L19" s="9"/>
      <c r="M19" s="9"/>
      <c r="N19" s="9"/>
      <c r="O19" s="9"/>
      <c r="P19" s="9"/>
      <c r="Q19" s="9"/>
      <c r="R19" s="23"/>
      <c r="T19" s="22"/>
      <c r="U19" s="106"/>
      <c r="V19" s="107"/>
      <c r="W19" s="107"/>
      <c r="X19" s="107"/>
      <c r="Y19" s="107"/>
      <c r="Z19" s="107"/>
      <c r="AA19" s="107"/>
      <c r="AB19" s="107"/>
      <c r="AC19" s="107"/>
      <c r="AD19" s="89"/>
      <c r="AE19" s="92"/>
      <c r="AF19" s="93"/>
      <c r="AG19" s="94"/>
      <c r="AH19" s="9"/>
      <c r="AI19" s="220" t="s">
        <v>206</v>
      </c>
      <c r="AJ19" s="221"/>
      <c r="AK19" s="221"/>
      <c r="AL19" s="221"/>
      <c r="AM19" s="221"/>
      <c r="AN19" s="222"/>
      <c r="AO19" s="217" t="s">
        <v>725</v>
      </c>
      <c r="AP19" s="217"/>
      <c r="AQ19" s="217"/>
      <c r="AR19" s="217"/>
      <c r="AS19" s="217"/>
      <c r="AT19" s="217"/>
      <c r="AU19" s="217" t="s">
        <v>102</v>
      </c>
      <c r="AV19" s="217"/>
      <c r="AW19" s="217" t="s">
        <v>708</v>
      </c>
      <c r="AX19" s="217"/>
      <c r="AY19" s="217"/>
      <c r="AZ19" s="217"/>
      <c r="BA19" s="217" t="s">
        <v>588</v>
      </c>
      <c r="BB19" s="217"/>
      <c r="BC19" s="218"/>
      <c r="BD19" s="23"/>
      <c r="BF19" s="22"/>
      <c r="BG19" s="115"/>
      <c r="BH19" s="116"/>
      <c r="BI19" s="116"/>
      <c r="BJ19" s="116"/>
      <c r="BK19" s="116"/>
      <c r="BL19" s="116"/>
      <c r="BM19" s="116"/>
      <c r="BN19" s="116"/>
      <c r="BO19" s="116"/>
      <c r="BP19" s="116"/>
      <c r="BQ19" s="116"/>
      <c r="BR19" s="116"/>
      <c r="BS19" s="116"/>
      <c r="BT19" s="116"/>
      <c r="BU19" s="116"/>
      <c r="BV19" s="116"/>
      <c r="BW19" s="139"/>
      <c r="BX19" s="139"/>
      <c r="BY19" s="139"/>
      <c r="BZ19" s="139"/>
      <c r="CA19" s="154"/>
      <c r="CB19" s="23"/>
    </row>
    <row r="20" spans="2:80" x14ac:dyDescent="0.25">
      <c r="B20" s="22"/>
      <c r="C20" s="106" t="s">
        <v>152</v>
      </c>
      <c r="D20" s="89"/>
      <c r="E20" s="31">
        <f>IFERROR(VLOOKUP(N23,Agilidad!A2:D162,3,FALSE),0)</f>
        <v>0</v>
      </c>
      <c r="F20" s="88" t="s">
        <v>149</v>
      </c>
      <c r="G20" s="89"/>
      <c r="H20" s="38">
        <f>IFERROR(VLOOKUP(N21,Fuerza!A2:C162,2,FALSE),0)</f>
        <v>0</v>
      </c>
      <c r="I20" s="9"/>
      <c r="J20" s="10"/>
      <c r="K20" s="9"/>
      <c r="L20" s="141" t="s">
        <v>537</v>
      </c>
      <c r="M20" s="141"/>
      <c r="N20" s="78" t="s">
        <v>224</v>
      </c>
      <c r="O20" s="78" t="s">
        <v>222</v>
      </c>
      <c r="P20" s="140" t="s">
        <v>223</v>
      </c>
      <c r="Q20" s="140"/>
      <c r="R20" s="23"/>
      <c r="T20" s="22"/>
      <c r="U20" s="106"/>
      <c r="V20" s="107"/>
      <c r="W20" s="107"/>
      <c r="X20" s="107"/>
      <c r="Y20" s="107"/>
      <c r="Z20" s="107"/>
      <c r="AA20" s="107"/>
      <c r="AB20" s="107"/>
      <c r="AC20" s="107"/>
      <c r="AD20" s="89"/>
      <c r="AE20" s="92"/>
      <c r="AF20" s="93"/>
      <c r="AG20" s="94"/>
      <c r="AH20" s="9"/>
      <c r="AI20" s="223"/>
      <c r="AJ20" s="224"/>
      <c r="AK20" s="224"/>
      <c r="AL20" s="224"/>
      <c r="AM20" s="224"/>
      <c r="AN20" s="225"/>
      <c r="AO20" s="92" t="s">
        <v>343</v>
      </c>
      <c r="AP20" s="93"/>
      <c r="AQ20" s="93"/>
      <c r="AR20" s="93"/>
      <c r="AS20" s="93"/>
      <c r="AT20" s="96"/>
      <c r="AU20" s="92"/>
      <c r="AV20" s="96"/>
      <c r="AW20" s="185" t="str">
        <f>IFERROR(VLOOKUP(AU20,Origen!$H$36:$I$41,2,FALSE),"-")</f>
        <v>-</v>
      </c>
      <c r="AX20" s="186"/>
      <c r="AY20" s="186"/>
      <c r="AZ20" s="197"/>
      <c r="BA20" s="92"/>
      <c r="BB20" s="93"/>
      <c r="BC20" s="94"/>
      <c r="BD20" s="23"/>
      <c r="BF20" s="22"/>
      <c r="BG20" s="9"/>
      <c r="BH20" s="9"/>
      <c r="BI20" s="9"/>
      <c r="BJ20" s="9"/>
      <c r="BK20" s="9"/>
      <c r="BL20" s="9"/>
      <c r="BM20" s="9"/>
      <c r="BN20" s="9"/>
      <c r="BO20" s="9"/>
      <c r="BP20" s="9"/>
      <c r="BQ20" s="9"/>
      <c r="BR20" s="9"/>
      <c r="BS20" s="9"/>
      <c r="BT20" s="9"/>
      <c r="BU20" s="9"/>
      <c r="BV20" s="9"/>
      <c r="BW20" s="9"/>
      <c r="BX20" s="9"/>
      <c r="BY20" s="9"/>
      <c r="BZ20" s="9"/>
      <c r="CA20" s="9"/>
      <c r="CB20" s="23"/>
    </row>
    <row r="21" spans="2:80" x14ac:dyDescent="0.25">
      <c r="B21" s="22"/>
      <c r="C21" s="149" t="s">
        <v>119</v>
      </c>
      <c r="D21" s="91"/>
      <c r="E21" s="39">
        <f>((N23+N25)/4)+IF(OR(COUNTIF(C40:E53,Habilidades!A25)),20,0)</f>
        <v>0</v>
      </c>
      <c r="F21" s="90" t="s">
        <v>2</v>
      </c>
      <c r="G21" s="91"/>
      <c r="H21" s="62" t="str">
        <f>_xlfn.IFS(N21&lt;76,N21 &amp; " Kg",N21&lt;91,N21*2 &amp; " Kg",N21&lt;100,N21*3  &amp; " Kg",N21=100,"500 Kg",N21&lt;120,VLOOKUP(N21,Fuerza!A1:D162,4,FALSE) &amp; " Tn",N21&gt;119,N21-100 &amp; " Tn")</f>
        <v>0 Kg</v>
      </c>
      <c r="I21" s="4"/>
      <c r="J21" s="12"/>
      <c r="K21" s="9"/>
      <c r="L21" s="118" t="s">
        <v>118</v>
      </c>
      <c r="M21" s="119"/>
      <c r="N21" s="76">
        <f>_xlfn.IFS(Tecnoarmaduras!A22=IFERROR(VLOOKUP(Tecnoarmaduras!A22,BG4:BQ19,1,FALSE),""),Tecnoarmaduras!B22,Tecnoarmaduras!A21=IFERROR(VLOOKUP(Tecnoarmaduras!A21,BG4:BQ19,1,FALSE),""),Tecnoarmaduras!B21,TRUE,(O21+P21+IFERROR(VLOOKUP(G4,Origen!L3:S7,2,FALSE),0)+IFERROR(VLOOKUP(Poderes!A46,Ficha!U4:AJ11,14,FALSE),0)))</f>
        <v>0</v>
      </c>
      <c r="O21" s="77"/>
      <c r="P21" s="108"/>
      <c r="Q21" s="109"/>
      <c r="R21" s="23"/>
      <c r="T21" s="22"/>
      <c r="U21" s="106"/>
      <c r="V21" s="107"/>
      <c r="W21" s="107"/>
      <c r="X21" s="107"/>
      <c r="Y21" s="107"/>
      <c r="Z21" s="107"/>
      <c r="AA21" s="107"/>
      <c r="AB21" s="107"/>
      <c r="AC21" s="107"/>
      <c r="AD21" s="89"/>
      <c r="AE21" s="92"/>
      <c r="AF21" s="93"/>
      <c r="AG21" s="94"/>
      <c r="AH21" s="9"/>
      <c r="AI21" s="223"/>
      <c r="AJ21" s="224"/>
      <c r="AK21" s="224"/>
      <c r="AL21" s="224"/>
      <c r="AM21" s="224"/>
      <c r="AN21" s="225"/>
      <c r="AO21" s="92" t="s">
        <v>724</v>
      </c>
      <c r="AP21" s="93"/>
      <c r="AQ21" s="93"/>
      <c r="AR21" s="93"/>
      <c r="AS21" s="93"/>
      <c r="AT21" s="96"/>
      <c r="AU21" s="92"/>
      <c r="AV21" s="96"/>
      <c r="AW21" s="185" t="str">
        <f>IFERROR(VLOOKUP(AU21,Origen!$H$36:$I$41,2,FALSE),"-")</f>
        <v>-</v>
      </c>
      <c r="AX21" s="186"/>
      <c r="AY21" s="186"/>
      <c r="AZ21" s="197"/>
      <c r="BA21" s="92"/>
      <c r="BB21" s="93"/>
      <c r="BC21" s="94"/>
      <c r="BD21" s="23"/>
      <c r="BF21" s="22"/>
      <c r="BG21" s="210" t="s">
        <v>739</v>
      </c>
      <c r="BH21" s="211"/>
      <c r="BI21" s="211"/>
      <c r="BJ21" s="211"/>
      <c r="BK21" s="211"/>
      <c r="BL21" s="211"/>
      <c r="BM21" s="211"/>
      <c r="BN21" s="211"/>
      <c r="BO21" s="211"/>
      <c r="BP21" s="211"/>
      <c r="BQ21" s="211"/>
      <c r="BR21" s="211"/>
      <c r="BS21" s="211"/>
      <c r="BT21" s="211"/>
      <c r="BU21" s="211"/>
      <c r="BV21" s="211"/>
      <c r="BW21" s="211"/>
      <c r="BX21" s="211"/>
      <c r="BY21" s="211"/>
      <c r="BZ21" s="211"/>
      <c r="CA21" s="212"/>
      <c r="CB21" s="23"/>
    </row>
    <row r="22" spans="2:80" x14ac:dyDescent="0.25">
      <c r="B22" s="22"/>
      <c r="C22" s="9"/>
      <c r="D22" s="9"/>
      <c r="E22" s="9"/>
      <c r="F22" s="9"/>
      <c r="G22" s="9"/>
      <c r="H22" s="9"/>
      <c r="I22" s="9"/>
      <c r="J22" s="9"/>
      <c r="K22" s="9"/>
      <c r="L22" s="115" t="s">
        <v>120</v>
      </c>
      <c r="M22" s="116"/>
      <c r="N22" s="29">
        <f>_xlfn.IFS(Tecnoarmaduras!A22=IFERROR(VLOOKUP(Tecnoarmaduras!A22,BG4:BQ19,1,FALSE),""),Tecnoarmaduras!C22,Tecnoarmaduras!A21=IFERROR(VLOOKUP(Tecnoarmaduras!A21,BG4:BQ19,1,FALSE),""),Tecnoarmaduras!C21,TRUE,(O22+P22+IFERROR(VLOOKUP(G4,Origen!L3:S7,3,FALSE),0)+IFERROR(VLOOKUP(Poderes!A45,Ficha!U4:AJ11,14,FALSE),0)))</f>
        <v>0</v>
      </c>
      <c r="O22" s="14"/>
      <c r="P22" s="142"/>
      <c r="Q22" s="143"/>
      <c r="R22" s="23"/>
      <c r="T22" s="22"/>
      <c r="U22" s="106"/>
      <c r="V22" s="107"/>
      <c r="W22" s="107"/>
      <c r="X22" s="107"/>
      <c r="Y22" s="107"/>
      <c r="Z22" s="107"/>
      <c r="AA22" s="107"/>
      <c r="AB22" s="107"/>
      <c r="AC22" s="107"/>
      <c r="AD22" s="89"/>
      <c r="AE22" s="92"/>
      <c r="AF22" s="93"/>
      <c r="AG22" s="94"/>
      <c r="AH22" s="9"/>
      <c r="AI22" s="223"/>
      <c r="AJ22" s="224"/>
      <c r="AK22" s="224"/>
      <c r="AL22" s="224"/>
      <c r="AM22" s="224"/>
      <c r="AN22" s="225"/>
      <c r="AO22" s="92" t="s">
        <v>344</v>
      </c>
      <c r="AP22" s="93"/>
      <c r="AQ22" s="93"/>
      <c r="AR22" s="93"/>
      <c r="AS22" s="93"/>
      <c r="AT22" s="96"/>
      <c r="AU22" s="92"/>
      <c r="AV22" s="96"/>
      <c r="AW22" s="185" t="str">
        <f>IFERROR(VLOOKUP(AU22,Origen!$H$36:$I$41,2,FALSE),"-")</f>
        <v>-</v>
      </c>
      <c r="AX22" s="186"/>
      <c r="AY22" s="186"/>
      <c r="AZ22" s="197"/>
      <c r="BA22" s="92"/>
      <c r="BB22" s="93"/>
      <c r="BC22" s="94"/>
      <c r="BD22" s="23"/>
      <c r="BF22" s="22"/>
      <c r="BG22" s="309" t="s">
        <v>738</v>
      </c>
      <c r="BH22" s="217"/>
      <c r="BI22" s="217"/>
      <c r="BJ22" s="217"/>
      <c r="BK22" s="213"/>
      <c r="BL22" s="213"/>
      <c r="BM22" s="213"/>
      <c r="BN22" s="213"/>
      <c r="BO22" s="213"/>
      <c r="BP22" s="213"/>
      <c r="BQ22" s="213"/>
      <c r="BR22" s="217" t="s">
        <v>740</v>
      </c>
      <c r="BS22" s="217"/>
      <c r="BT22" s="217"/>
      <c r="BU22" s="217"/>
      <c r="BV22" s="308"/>
      <c r="BW22" s="213"/>
      <c r="BX22" s="217" t="s">
        <v>522</v>
      </c>
      <c r="BY22" s="217"/>
      <c r="BZ22" s="213"/>
      <c r="CA22" s="214"/>
      <c r="CB22" s="23"/>
    </row>
    <row r="23" spans="2:80" ht="15" customHeight="1" x14ac:dyDescent="0.3">
      <c r="B23" s="22"/>
      <c r="C23" s="120" t="s">
        <v>153</v>
      </c>
      <c r="D23" s="120"/>
      <c r="E23" s="120"/>
      <c r="F23" s="120"/>
      <c r="G23" s="120"/>
      <c r="H23" s="120"/>
      <c r="I23" s="120"/>
      <c r="J23" s="120"/>
      <c r="K23" s="9"/>
      <c r="L23" s="115" t="s">
        <v>121</v>
      </c>
      <c r="M23" s="116"/>
      <c r="N23" s="29">
        <f>_xlfn.IFS(Tecnoarmaduras!A23=IFERROR(VLOOKUP(Tecnoarmaduras!A23,BG4:BQ19,1,FALSE),""),Tecnoarmaduras!D23,TRUE,(IF(D4="Vigilante",MIN(100,O23+P23+IFERROR(VLOOKUP(G4,Origen!L3:S7,4,FALSE),0)+Origen!P24),O23+P23+IFERROR(VLOOKUP(G4,Origen!L3:S7,4,FALSE),0))+IFERROR(VLOOKUP(Poderes!A42,Ficha!U4:AJ11,14,FALSE),0)))</f>
        <v>0</v>
      </c>
      <c r="O23" s="14"/>
      <c r="P23" s="142"/>
      <c r="Q23" s="143"/>
      <c r="R23" s="23"/>
      <c r="T23" s="22"/>
      <c r="U23" s="106"/>
      <c r="V23" s="107"/>
      <c r="W23" s="107"/>
      <c r="X23" s="107"/>
      <c r="Y23" s="107"/>
      <c r="Z23" s="107"/>
      <c r="AA23" s="107"/>
      <c r="AB23" s="107"/>
      <c r="AC23" s="107"/>
      <c r="AD23" s="89"/>
      <c r="AE23" s="92"/>
      <c r="AF23" s="93"/>
      <c r="AG23" s="94"/>
      <c r="AH23" s="9"/>
      <c r="AI23" s="223"/>
      <c r="AJ23" s="224"/>
      <c r="AK23" s="224"/>
      <c r="AL23" s="224"/>
      <c r="AM23" s="224"/>
      <c r="AN23" s="225"/>
      <c r="AO23" s="92" t="s">
        <v>345</v>
      </c>
      <c r="AP23" s="93"/>
      <c r="AQ23" s="93"/>
      <c r="AR23" s="93"/>
      <c r="AS23" s="93"/>
      <c r="AT23" s="96"/>
      <c r="AU23" s="92"/>
      <c r="AV23" s="96"/>
      <c r="AW23" s="185" t="str">
        <f>IFERROR(VLOOKUP(AU23,Origen!$H$36:$I$41,2,FALSE),"-")</f>
        <v>-</v>
      </c>
      <c r="AX23" s="186"/>
      <c r="AY23" s="186"/>
      <c r="AZ23" s="197"/>
      <c r="BA23" s="92"/>
      <c r="BB23" s="93"/>
      <c r="BC23" s="94"/>
      <c r="BD23" s="23"/>
      <c r="BF23" s="22"/>
      <c r="BG23" s="18" t="s">
        <v>741</v>
      </c>
      <c r="BH23" s="16"/>
      <c r="BI23" s="16"/>
      <c r="BJ23" s="16"/>
      <c r="BK23" s="99"/>
      <c r="BL23" s="99"/>
      <c r="BM23" s="99"/>
      <c r="BN23" s="99"/>
      <c r="BO23" s="99"/>
      <c r="BP23" s="99"/>
      <c r="BQ23" s="99"/>
      <c r="BR23" s="99"/>
      <c r="BS23" s="99"/>
      <c r="BT23" s="99"/>
      <c r="BU23" s="99"/>
      <c r="BV23" s="99"/>
      <c r="BW23" s="99"/>
      <c r="BX23" s="99"/>
      <c r="BY23" s="99"/>
      <c r="BZ23" s="99"/>
      <c r="CA23" s="235"/>
      <c r="CB23" s="23"/>
    </row>
    <row r="24" spans="2:80" x14ac:dyDescent="0.25">
      <c r="B24" s="22"/>
      <c r="C24" s="117" t="s">
        <v>221</v>
      </c>
      <c r="D24" s="117"/>
      <c r="E24" s="117"/>
      <c r="F24" s="75" t="s">
        <v>224</v>
      </c>
      <c r="G24" s="75" t="s">
        <v>222</v>
      </c>
      <c r="H24" s="75" t="s">
        <v>223</v>
      </c>
      <c r="I24" s="117" t="s">
        <v>225</v>
      </c>
      <c r="J24" s="117"/>
      <c r="K24" s="9"/>
      <c r="L24" s="115" t="s">
        <v>122</v>
      </c>
      <c r="M24" s="116"/>
      <c r="N24" s="29">
        <f>IF(OR(D4="Vigilante",D4="Divino"),MIN(100,O24+P24+IFERROR(VLOOKUP(G4,Origen!L3:S7,5,FALSE),0)+Origen!AF24),O24+P24+IFERROR(VLOOKUP(G4,Origen!L3:S7,5,FALSE),0))-IF(OR(L39='Historia y Personaje'!A6,L40='Historia y Personaje'!A6,L41='Historia y Personaje'!A6),VLOOKUP('Historia y Personaje'!A6,L39:Q41,4,FALSE),0)+IFERROR(VLOOKUP(Poderes!A43,Ficha!U4:AJ11,14,FALSE),0)</f>
        <v>0</v>
      </c>
      <c r="O24" s="14"/>
      <c r="P24" s="142"/>
      <c r="Q24" s="143"/>
      <c r="R24" s="23"/>
      <c r="T24" s="22"/>
      <c r="U24" s="106"/>
      <c r="V24" s="107"/>
      <c r="W24" s="107"/>
      <c r="X24" s="107"/>
      <c r="Y24" s="107"/>
      <c r="Z24" s="107"/>
      <c r="AA24" s="107"/>
      <c r="AB24" s="107"/>
      <c r="AC24" s="107"/>
      <c r="AD24" s="89"/>
      <c r="AE24" s="92"/>
      <c r="AF24" s="93"/>
      <c r="AG24" s="94"/>
      <c r="AH24" s="9"/>
      <c r="AI24" s="223"/>
      <c r="AJ24" s="224"/>
      <c r="AK24" s="224"/>
      <c r="AL24" s="224"/>
      <c r="AM24" s="224"/>
      <c r="AN24" s="225"/>
      <c r="AO24" s="92" t="s">
        <v>348</v>
      </c>
      <c r="AP24" s="93"/>
      <c r="AQ24" s="93"/>
      <c r="AR24" s="93"/>
      <c r="AS24" s="93"/>
      <c r="AT24" s="96"/>
      <c r="AU24" s="92"/>
      <c r="AV24" s="96"/>
      <c r="AW24" s="185" t="str">
        <f>IFERROR(VLOOKUP(AU24,Origen!$H$36:$I$41,2,FALSE),"-")</f>
        <v>-</v>
      </c>
      <c r="AX24" s="186"/>
      <c r="AY24" s="186"/>
      <c r="AZ24" s="197"/>
      <c r="BA24" s="92"/>
      <c r="BB24" s="93"/>
      <c r="BC24" s="94"/>
      <c r="BD24" s="23"/>
      <c r="BF24" s="22"/>
      <c r="BG24" s="310" t="s">
        <v>738</v>
      </c>
      <c r="BH24" s="311"/>
      <c r="BI24" s="311"/>
      <c r="BJ24" s="311"/>
      <c r="BK24" s="303"/>
      <c r="BL24" s="303"/>
      <c r="BM24" s="303"/>
      <c r="BN24" s="303"/>
      <c r="BO24" s="303"/>
      <c r="BP24" s="303"/>
      <c r="BQ24" s="303"/>
      <c r="BR24" s="311" t="s">
        <v>740</v>
      </c>
      <c r="BS24" s="311"/>
      <c r="BT24" s="311"/>
      <c r="BU24" s="311"/>
      <c r="BV24" s="312"/>
      <c r="BW24" s="303"/>
      <c r="BX24" s="311" t="s">
        <v>522</v>
      </c>
      <c r="BY24" s="311"/>
      <c r="BZ24" s="303"/>
      <c r="CA24" s="304"/>
      <c r="CB24" s="23"/>
    </row>
    <row r="25" spans="2:80" ht="15" customHeight="1" x14ac:dyDescent="0.25">
      <c r="B25" s="22"/>
      <c r="C25" s="115" t="s">
        <v>123</v>
      </c>
      <c r="D25" s="116"/>
      <c r="E25" s="116"/>
      <c r="F25" s="29">
        <f>G25+H25+Origen!S24+IF(AS11=C25,AH11,0)+IFERROR(IF(VLOOKUP(Poderes!$A$47,$U$4:$AC$10,1)=Poderes!$A$47,VLOOKUP(C25,CHOOSE({2,1},$AH$4:$AH$10,$AS$4:$AS$10),2,0),0),0)</f>
        <v>0</v>
      </c>
      <c r="G25" s="31">
        <f>(N23+N25)/2</f>
        <v>0</v>
      </c>
      <c r="H25" s="15"/>
      <c r="I25" s="125"/>
      <c r="J25" s="126"/>
      <c r="K25" s="9"/>
      <c r="L25" s="115" t="s">
        <v>124</v>
      </c>
      <c r="M25" s="116"/>
      <c r="N25" s="29">
        <f>_xlfn.IFS(Tecnoarmaduras!A25=IFERROR(VLOOKUP(Tecnoarmaduras!A25,BG4:BQ19,1,FALSE),""),Tecnoarmaduras!F25,TRUE,(IF(D4="Vigilante",MIN(100,O25+P25+IFERROR(VLOOKUP(G4,Origen!L3:S7,6,FALSE),0)+Origen!Q24),O25+P25+IFERROR(VLOOKUP(G4,Origen!L3:S7,6,FALSE),0))+IFERROR(VLOOKUP(Poderes!A48,Ficha!U4:AJ11,14,FALSE),0)))</f>
        <v>0</v>
      </c>
      <c r="O25" s="14"/>
      <c r="P25" s="142"/>
      <c r="Q25" s="143"/>
      <c r="R25" s="23"/>
      <c r="T25" s="22"/>
      <c r="U25" s="106"/>
      <c r="V25" s="107"/>
      <c r="W25" s="107"/>
      <c r="X25" s="107"/>
      <c r="Y25" s="107"/>
      <c r="Z25" s="107"/>
      <c r="AA25" s="107"/>
      <c r="AB25" s="107"/>
      <c r="AC25" s="107"/>
      <c r="AD25" s="89"/>
      <c r="AE25" s="92"/>
      <c r="AF25" s="93"/>
      <c r="AG25" s="94"/>
      <c r="AH25" s="9"/>
      <c r="AI25" s="226"/>
      <c r="AJ25" s="227"/>
      <c r="AK25" s="227"/>
      <c r="AL25" s="227"/>
      <c r="AM25" s="227"/>
      <c r="AN25" s="228"/>
      <c r="AO25" s="207" t="s">
        <v>349</v>
      </c>
      <c r="AP25" s="298"/>
      <c r="AQ25" s="298"/>
      <c r="AR25" s="298"/>
      <c r="AS25" s="298"/>
      <c r="AT25" s="208"/>
      <c r="AU25" s="92"/>
      <c r="AV25" s="96"/>
      <c r="AW25" s="185" t="str">
        <f>IFERROR(VLOOKUP(AU25,Origen!$H$36:$I$41,2,FALSE),"-")</f>
        <v>-</v>
      </c>
      <c r="AX25" s="186"/>
      <c r="AY25" s="186"/>
      <c r="AZ25" s="197"/>
      <c r="BA25" s="92"/>
      <c r="BB25" s="93"/>
      <c r="BC25" s="94"/>
      <c r="BD25" s="23"/>
      <c r="BF25" s="22"/>
      <c r="BG25" s="82" t="s">
        <v>741</v>
      </c>
      <c r="BH25" s="83"/>
      <c r="BI25" s="83"/>
      <c r="BJ25" s="83"/>
      <c r="BK25" s="303"/>
      <c r="BL25" s="303"/>
      <c r="BM25" s="303"/>
      <c r="BN25" s="303"/>
      <c r="BO25" s="303"/>
      <c r="BP25" s="303"/>
      <c r="BQ25" s="303"/>
      <c r="BR25" s="303"/>
      <c r="BS25" s="303"/>
      <c r="BT25" s="303"/>
      <c r="BU25" s="303"/>
      <c r="BV25" s="303"/>
      <c r="BW25" s="303"/>
      <c r="BX25" s="303"/>
      <c r="BY25" s="303"/>
      <c r="BZ25" s="303"/>
      <c r="CA25" s="304"/>
      <c r="CB25" s="23"/>
    </row>
    <row r="26" spans="2:80" ht="15" customHeight="1" x14ac:dyDescent="0.25">
      <c r="B26" s="22"/>
      <c r="C26" s="115" t="s">
        <v>125</v>
      </c>
      <c r="D26" s="116"/>
      <c r="E26" s="116"/>
      <c r="F26" s="29">
        <f>G26+H26+Origen!X24+IF(AS11=C26,AH11,0)+IFERROR(IF(VLOOKUP(Poderes!$A$47,$U$4:$AC$10,1)=Poderes!$A$47,VLOOKUP(C26,CHOOSE({2,1},$AH$4:$AH$10,$AS$4:$AS$10),2,0),0),0)</f>
        <v>0</v>
      </c>
      <c r="G26" s="32">
        <f>(N23+N25)/2</f>
        <v>0</v>
      </c>
      <c r="H26" s="15"/>
      <c r="I26" s="125"/>
      <c r="J26" s="126"/>
      <c r="K26" s="9"/>
      <c r="L26" s="115" t="s">
        <v>126</v>
      </c>
      <c r="M26" s="116"/>
      <c r="N26" s="29">
        <f>IF(OR(D4="Vigilante",D4="Divino"),MIN(100,O26+P26+IFERROR(VLOOKUP(G4,Origen!L3:S7,7,FALSE),0)+Origen!AI24),O26+P26+IFERROR(VLOOKUP(G4,Origen!L3:S7,7,FALSE),0))-IF(OR(L39='Historia y Personaje'!A8,L40='Historia y Personaje'!A8,L41='Historia y Personaje'!A8),VLOOKUP('Historia y Personaje'!A8,L39:Q41,4,FALSE),0)+IFERROR(VLOOKUP(Poderes!A44,Ficha!U4:AJ11,14,FALSE),0)</f>
        <v>0</v>
      </c>
      <c r="O26" s="14"/>
      <c r="P26" s="142"/>
      <c r="Q26" s="143"/>
      <c r="R26" s="23"/>
      <c r="T26" s="22"/>
      <c r="U26" s="106"/>
      <c r="V26" s="107"/>
      <c r="W26" s="107"/>
      <c r="X26" s="107"/>
      <c r="Y26" s="107"/>
      <c r="Z26" s="107"/>
      <c r="AA26" s="107"/>
      <c r="AB26" s="107"/>
      <c r="AC26" s="107"/>
      <c r="AD26" s="89"/>
      <c r="AE26" s="92"/>
      <c r="AF26" s="93"/>
      <c r="AG26" s="94"/>
      <c r="AH26" s="9"/>
      <c r="AI26" s="229" t="s">
        <v>208</v>
      </c>
      <c r="AJ26" s="230"/>
      <c r="AK26" s="230"/>
      <c r="AL26" s="230"/>
      <c r="AM26" s="230"/>
      <c r="AN26" s="231"/>
      <c r="AO26" s="217" t="s">
        <v>730</v>
      </c>
      <c r="AP26" s="217"/>
      <c r="AQ26" s="217"/>
      <c r="AR26" s="217"/>
      <c r="AS26" s="217"/>
      <c r="AT26" s="217" t="s">
        <v>731</v>
      </c>
      <c r="AU26" s="217"/>
      <c r="AV26" s="217"/>
      <c r="AW26" s="217"/>
      <c r="AX26" s="217"/>
      <c r="AY26" s="217"/>
      <c r="AZ26" s="217"/>
      <c r="BA26" s="217"/>
      <c r="BB26" s="217"/>
      <c r="BC26" s="218"/>
      <c r="BD26" s="23"/>
      <c r="BF26" s="22"/>
      <c r="BG26" s="306" t="s">
        <v>738</v>
      </c>
      <c r="BH26" s="305"/>
      <c r="BI26" s="305"/>
      <c r="BJ26" s="305"/>
      <c r="BK26" s="99"/>
      <c r="BL26" s="99"/>
      <c r="BM26" s="99"/>
      <c r="BN26" s="99"/>
      <c r="BO26" s="99"/>
      <c r="BP26" s="99"/>
      <c r="BQ26" s="99"/>
      <c r="BR26" s="305" t="s">
        <v>740</v>
      </c>
      <c r="BS26" s="305"/>
      <c r="BT26" s="305"/>
      <c r="BU26" s="305"/>
      <c r="BV26" s="307"/>
      <c r="BW26" s="99"/>
      <c r="BX26" s="305" t="s">
        <v>522</v>
      </c>
      <c r="BY26" s="305"/>
      <c r="BZ26" s="99"/>
      <c r="CA26" s="235"/>
      <c r="CB26" s="23"/>
    </row>
    <row r="27" spans="2:80" ht="15" customHeight="1" x14ac:dyDescent="0.25">
      <c r="B27" s="22"/>
      <c r="C27" s="115" t="s">
        <v>127</v>
      </c>
      <c r="D27" s="116"/>
      <c r="E27" s="116"/>
      <c r="F27" s="29">
        <f>G27+H27+Origen!AC24+IF(AS11=C27,AH11,0)+IFERROR(IF(VLOOKUP(Poderes!$A$47,$U$4:$AC$10,1)=Poderes!$A$47,VLOOKUP(C27,CHOOSE({2,1},$AH$4:$AH$10,$AS$4:$AS$10),2,0),0),0)+_xlfn.IFS(Tecnoarmaduras!A24=IFERROR(VLOOKUP(Tecnoarmaduras!A24,BG4:BQ19,1,FALSE),""),Tecnoarmaduras!E24,TRUE,0)</f>
        <v>0</v>
      </c>
      <c r="G27" s="32">
        <f>IF(G4="Heraldo",N24/5,N24/3)</f>
        <v>0</v>
      </c>
      <c r="H27" s="15"/>
      <c r="I27" s="125"/>
      <c r="J27" s="126"/>
      <c r="K27" s="9"/>
      <c r="L27" s="115" t="s">
        <v>128</v>
      </c>
      <c r="M27" s="116"/>
      <c r="N27" s="29">
        <f>IF(OR(D4="Vigilante",D4="Divino"),MIN(100,O27+P27+IFERROR(VLOOKUP(G4,Origen!L3:S7,8,FALSE),0)+Origen!AA24),O27+P27+IFERROR(VLOOKUP(G4,Origen!L3:S7,8,FALSE),0))</f>
        <v>0</v>
      </c>
      <c r="O27" s="14"/>
      <c r="P27" s="142"/>
      <c r="Q27" s="143"/>
      <c r="R27" s="23"/>
      <c r="T27" s="22"/>
      <c r="U27" s="106"/>
      <c r="V27" s="107"/>
      <c r="W27" s="107"/>
      <c r="X27" s="107"/>
      <c r="Y27" s="107"/>
      <c r="Z27" s="107"/>
      <c r="AA27" s="107"/>
      <c r="AB27" s="107"/>
      <c r="AC27" s="107"/>
      <c r="AD27" s="89"/>
      <c r="AE27" s="194"/>
      <c r="AF27" s="195"/>
      <c r="AG27" s="196"/>
      <c r="AH27" s="9"/>
      <c r="AI27" s="232"/>
      <c r="AJ27" s="233"/>
      <c r="AK27" s="233"/>
      <c r="AL27" s="233"/>
      <c r="AM27" s="233"/>
      <c r="AN27" s="234"/>
      <c r="AO27" s="198" t="s">
        <v>729</v>
      </c>
      <c r="AP27" s="199"/>
      <c r="AQ27" s="199"/>
      <c r="AR27" s="199"/>
      <c r="AS27" s="200"/>
      <c r="AT27" s="90"/>
      <c r="AU27" s="201"/>
      <c r="AV27" s="201"/>
      <c r="AW27" s="201"/>
      <c r="AX27" s="201"/>
      <c r="AY27" s="201"/>
      <c r="AZ27" s="201"/>
      <c r="BA27" s="201"/>
      <c r="BB27" s="201"/>
      <c r="BC27" s="202"/>
      <c r="BD27" s="23"/>
      <c r="BF27" s="22"/>
      <c r="BG27" s="18" t="s">
        <v>741</v>
      </c>
      <c r="BH27" s="16"/>
      <c r="BI27" s="16"/>
      <c r="BJ27" s="16"/>
      <c r="BK27" s="99"/>
      <c r="BL27" s="99"/>
      <c r="BM27" s="99"/>
      <c r="BN27" s="99"/>
      <c r="BO27" s="99"/>
      <c r="BP27" s="99"/>
      <c r="BQ27" s="99"/>
      <c r="BR27" s="99"/>
      <c r="BS27" s="99"/>
      <c r="BT27" s="99"/>
      <c r="BU27" s="99"/>
      <c r="BV27" s="99"/>
      <c r="BW27" s="99"/>
      <c r="BX27" s="99"/>
      <c r="BY27" s="99"/>
      <c r="BZ27" s="99"/>
      <c r="CA27" s="235"/>
      <c r="CB27" s="23"/>
    </row>
    <row r="28" spans="2:80" x14ac:dyDescent="0.25">
      <c r="B28" s="22"/>
      <c r="C28" s="115" t="s">
        <v>129</v>
      </c>
      <c r="D28" s="116"/>
      <c r="E28" s="116"/>
      <c r="F28" s="29">
        <f>G28+H28+Origen!Y24+IF(AS11=C28,AH11,0)+IFERROR(IF(VLOOKUP(Poderes!$A$47,$U$4:$AC$10,1)=Poderes!$A$47,VLOOKUP(C28,CHOOSE({2,1},$AH$4:$AH$10,$AS$4:$AS$10),2,0),0),0)</f>
        <v>0</v>
      </c>
      <c r="G28" s="32">
        <f>(N23+N25)/4</f>
        <v>0</v>
      </c>
      <c r="H28" s="15"/>
      <c r="I28" s="125"/>
      <c r="J28" s="126"/>
      <c r="K28" s="9"/>
      <c r="L28" s="8"/>
      <c r="M28" s="9"/>
      <c r="N28" s="9"/>
      <c r="O28" s="9"/>
      <c r="P28" s="161"/>
      <c r="Q28" s="162"/>
      <c r="R28" s="23"/>
      <c r="T28" s="22"/>
      <c r="U28" s="215"/>
      <c r="V28" s="216"/>
      <c r="W28" s="153" t="s">
        <v>224</v>
      </c>
      <c r="X28" s="138"/>
      <c r="Y28" s="153" t="s">
        <v>222</v>
      </c>
      <c r="Z28" s="137"/>
      <c r="AA28" s="138"/>
      <c r="AB28" s="153" t="s">
        <v>223</v>
      </c>
      <c r="AC28" s="138"/>
      <c r="AD28" s="217" t="s">
        <v>529</v>
      </c>
      <c r="AE28" s="217"/>
      <c r="AF28" s="217" t="s">
        <v>523</v>
      </c>
      <c r="AG28" s="218"/>
      <c r="AH28" s="9"/>
      <c r="AI28" s="229" t="s">
        <v>732</v>
      </c>
      <c r="AJ28" s="230"/>
      <c r="AK28" s="230"/>
      <c r="AL28" s="230"/>
      <c r="AM28" s="230"/>
      <c r="AN28" s="231"/>
      <c r="AO28" s="153" t="s">
        <v>734</v>
      </c>
      <c r="AP28" s="137"/>
      <c r="AQ28" s="137"/>
      <c r="AR28" s="137"/>
      <c r="AS28" s="137"/>
      <c r="AT28" s="137"/>
      <c r="AU28" s="138"/>
      <c r="AV28" s="153" t="s">
        <v>224</v>
      </c>
      <c r="AW28" s="138"/>
      <c r="AX28" s="153" t="s">
        <v>222</v>
      </c>
      <c r="AY28" s="137"/>
      <c r="AZ28" s="138"/>
      <c r="BA28" s="153" t="s">
        <v>536</v>
      </c>
      <c r="BB28" s="137"/>
      <c r="BC28" s="160"/>
      <c r="BD28" s="23"/>
      <c r="BF28" s="22"/>
      <c r="BG28" s="310" t="s">
        <v>738</v>
      </c>
      <c r="BH28" s="311"/>
      <c r="BI28" s="311"/>
      <c r="BJ28" s="311"/>
      <c r="BK28" s="303"/>
      <c r="BL28" s="303"/>
      <c r="BM28" s="303"/>
      <c r="BN28" s="303"/>
      <c r="BO28" s="303"/>
      <c r="BP28" s="303"/>
      <c r="BQ28" s="303"/>
      <c r="BR28" s="311" t="s">
        <v>740</v>
      </c>
      <c r="BS28" s="311"/>
      <c r="BT28" s="311"/>
      <c r="BU28" s="311"/>
      <c r="BV28" s="312"/>
      <c r="BW28" s="303"/>
      <c r="BX28" s="311" t="s">
        <v>522</v>
      </c>
      <c r="BY28" s="311"/>
      <c r="BZ28" s="303"/>
      <c r="CA28" s="304"/>
      <c r="CB28" s="23"/>
    </row>
    <row r="29" spans="2:80" x14ac:dyDescent="0.25">
      <c r="B29" s="22"/>
      <c r="C29" s="115" t="s">
        <v>130</v>
      </c>
      <c r="D29" s="116"/>
      <c r="E29" s="116"/>
      <c r="F29" s="29">
        <f>G29+H29+Origen!AD24+IF(AS11=C29,AH11,0)+IFERROR(IF(VLOOKUP(Poderes!$A$47,$U$4:$AC$10,1)=Poderes!$A$47,VLOOKUP(C29,CHOOSE({2,1},$AH$4:$AH$10,$AS$4:$AS$10),2,0),0),0)</f>
        <v>0</v>
      </c>
      <c r="G29" s="32">
        <f>N24/2</f>
        <v>0</v>
      </c>
      <c r="H29" s="15"/>
      <c r="I29" s="125"/>
      <c r="J29" s="126"/>
      <c r="K29" s="9"/>
      <c r="L29" s="141" t="s">
        <v>228</v>
      </c>
      <c r="M29" s="141"/>
      <c r="N29" s="78" t="s">
        <v>224</v>
      </c>
      <c r="O29" s="78" t="s">
        <v>222</v>
      </c>
      <c r="P29" s="140" t="s">
        <v>223</v>
      </c>
      <c r="Q29" s="140"/>
      <c r="R29" s="23"/>
      <c r="T29" s="22"/>
      <c r="U29" s="151" t="s">
        <v>585</v>
      </c>
      <c r="V29" s="152"/>
      <c r="W29" s="203">
        <f>Y29+(AB29*10)</f>
        <v>0</v>
      </c>
      <c r="X29" s="204"/>
      <c r="Y29" s="205">
        <f>N24+N27+N25</f>
        <v>0</v>
      </c>
      <c r="Z29" s="206"/>
      <c r="AA29" s="204"/>
      <c r="AB29" s="207">
        <v>0</v>
      </c>
      <c r="AC29" s="208"/>
      <c r="AD29" s="156">
        <f>SUM(Hechizos!C2:C25)</f>
        <v>0</v>
      </c>
      <c r="AE29" s="156"/>
      <c r="AF29" s="156">
        <f>W29-AD29</f>
        <v>0</v>
      </c>
      <c r="AG29" s="209"/>
      <c r="AH29" s="9"/>
      <c r="AI29" s="232"/>
      <c r="AJ29" s="233"/>
      <c r="AK29" s="233"/>
      <c r="AL29" s="233"/>
      <c r="AM29" s="233"/>
      <c r="AN29" s="234"/>
      <c r="AO29" s="207" t="s">
        <v>732</v>
      </c>
      <c r="AP29" s="298"/>
      <c r="AQ29" s="298"/>
      <c r="AR29" s="298"/>
      <c r="AS29" s="298"/>
      <c r="AT29" s="298"/>
      <c r="AU29" s="208"/>
      <c r="AV29" s="205">
        <f>AX29+BA29</f>
        <v>0</v>
      </c>
      <c r="AW29" s="204"/>
      <c r="AX29" s="299">
        <f>(N24+N27)/3</f>
        <v>0</v>
      </c>
      <c r="AY29" s="300"/>
      <c r="AZ29" s="301"/>
      <c r="BA29" s="207"/>
      <c r="BB29" s="298"/>
      <c r="BC29" s="302"/>
      <c r="BD29" s="23"/>
      <c r="BF29" s="22"/>
      <c r="BG29" s="84" t="s">
        <v>741</v>
      </c>
      <c r="BH29" s="85"/>
      <c r="BI29" s="85"/>
      <c r="BJ29" s="85"/>
      <c r="BK29" s="313"/>
      <c r="BL29" s="313"/>
      <c r="BM29" s="313"/>
      <c r="BN29" s="313"/>
      <c r="BO29" s="313"/>
      <c r="BP29" s="313"/>
      <c r="BQ29" s="313"/>
      <c r="BR29" s="313"/>
      <c r="BS29" s="313"/>
      <c r="BT29" s="313"/>
      <c r="BU29" s="313"/>
      <c r="BV29" s="313"/>
      <c r="BW29" s="313"/>
      <c r="BX29" s="313"/>
      <c r="BY29" s="313"/>
      <c r="BZ29" s="313"/>
      <c r="CA29" s="314"/>
      <c r="CB29" s="23"/>
    </row>
    <row r="30" spans="2:80" x14ac:dyDescent="0.25">
      <c r="B30" s="22"/>
      <c r="C30" s="115" t="s">
        <v>134</v>
      </c>
      <c r="D30" s="116"/>
      <c r="E30" s="116"/>
      <c r="F30" s="29">
        <f>G30+H30+IF(AS11=C30,AH11,0)+IFERROR(IF(VLOOKUP(Poderes!$A$47,$U$4:$AC$10,1)=Poderes!$A$47,VLOOKUP(C30,CHOOSE({2,1},$AH$4:$AH$10,$AS$4:$AS$10),2,0),0),0)</f>
        <v>0</v>
      </c>
      <c r="G30" s="32">
        <f>N24</f>
        <v>0</v>
      </c>
      <c r="H30" s="15"/>
      <c r="I30" s="125"/>
      <c r="J30" s="126"/>
      <c r="K30" s="9"/>
      <c r="L30" s="118" t="s">
        <v>131</v>
      </c>
      <c r="M30" s="119"/>
      <c r="N30" s="79">
        <f>O30+P30</f>
        <v>0</v>
      </c>
      <c r="O30" s="79">
        <f>IF(N22&lt;101,0,VLOOKUP(N22,Constitución!A1:D102,3,FALSE))</f>
        <v>0</v>
      </c>
      <c r="P30" s="108"/>
      <c r="Q30" s="109"/>
      <c r="R30" s="23"/>
      <c r="T30" s="22"/>
      <c r="U30" s="9"/>
      <c r="V30" s="9"/>
      <c r="W30" s="9"/>
      <c r="X30" s="9"/>
      <c r="Y30" s="9"/>
      <c r="Z30" s="9"/>
      <c r="AA30" s="9"/>
      <c r="AB30" s="9"/>
      <c r="AC30" s="9"/>
      <c r="AD30" s="9"/>
      <c r="AE30" s="9"/>
      <c r="AF30" s="9"/>
      <c r="AG30" s="9"/>
      <c r="AH30" s="9"/>
      <c r="AI30" s="9"/>
      <c r="AJ30" s="9"/>
      <c r="AK30" s="9"/>
      <c r="AL30" s="9"/>
      <c r="AM30" s="9"/>
      <c r="AN30" s="9"/>
      <c r="AO30" s="9"/>
      <c r="AP30" s="9"/>
      <c r="AQ30" s="9"/>
      <c r="AR30" s="9"/>
      <c r="AS30" s="9"/>
      <c r="AT30" s="9"/>
      <c r="AU30" s="9"/>
      <c r="AV30" s="9"/>
      <c r="AW30" s="9"/>
      <c r="AX30" s="9"/>
      <c r="AY30" s="9"/>
      <c r="AZ30" s="9"/>
      <c r="BA30" s="9"/>
      <c r="BB30" s="9"/>
      <c r="BC30" s="9"/>
      <c r="BD30" s="23"/>
      <c r="BF30" s="22"/>
      <c r="BG30" s="306" t="s">
        <v>738</v>
      </c>
      <c r="BH30" s="305"/>
      <c r="BI30" s="305"/>
      <c r="BJ30" s="305"/>
      <c r="BK30" s="99"/>
      <c r="BL30" s="99"/>
      <c r="BM30" s="99"/>
      <c r="BN30" s="99"/>
      <c r="BO30" s="99"/>
      <c r="BP30" s="99"/>
      <c r="BQ30" s="99"/>
      <c r="BR30" s="305" t="s">
        <v>740</v>
      </c>
      <c r="BS30" s="305"/>
      <c r="BT30" s="305"/>
      <c r="BU30" s="305"/>
      <c r="BV30" s="307"/>
      <c r="BW30" s="99"/>
      <c r="BX30" s="305" t="s">
        <v>522</v>
      </c>
      <c r="BY30" s="305"/>
      <c r="BZ30" s="99"/>
      <c r="CA30" s="235"/>
      <c r="CB30" s="23"/>
    </row>
    <row r="31" spans="2:80" x14ac:dyDescent="0.25">
      <c r="B31" s="22"/>
      <c r="C31" s="115" t="s">
        <v>132</v>
      </c>
      <c r="D31" s="116"/>
      <c r="E31" s="116"/>
      <c r="F31" s="29">
        <f>G31+H31+Origen!AG24+IF(AS11=C31,AH11,0)+IFERROR(IF(VLOOKUP(Poderes!$A$47,$U$4:$AC$10,1)=Poderes!$A$47,VLOOKUP(C31,CHOOSE({2,1},$AH$4:$AH$10,$AS$4:$AS$10),2,0),0),0)</f>
        <v>0</v>
      </c>
      <c r="G31" s="32">
        <f>(N24+N26)/2</f>
        <v>0</v>
      </c>
      <c r="H31" s="15"/>
      <c r="I31" s="125"/>
      <c r="J31" s="126"/>
      <c r="K31" s="9"/>
      <c r="L31" s="115" t="s">
        <v>133</v>
      </c>
      <c r="M31" s="116"/>
      <c r="N31" s="31">
        <f t="shared" ref="N31:N35" si="1">O31+P31</f>
        <v>0</v>
      </c>
      <c r="O31" s="31">
        <f>IFERROR(VLOOKUP(N24,Inteligencia!A1:B162,2,FALSE),0)</f>
        <v>0</v>
      </c>
      <c r="P31" s="142"/>
      <c r="Q31" s="143"/>
      <c r="R31" s="23"/>
      <c r="T31" s="22"/>
      <c r="U31" s="141" t="s">
        <v>466</v>
      </c>
      <c r="V31" s="141"/>
      <c r="W31" s="141"/>
      <c r="X31" s="141"/>
      <c r="Y31" s="141"/>
      <c r="Z31" s="141"/>
      <c r="AA31" s="141"/>
      <c r="AB31" s="141"/>
      <c r="AC31" s="141"/>
      <c r="AD31" s="141"/>
      <c r="AE31" s="141"/>
      <c r="AF31" s="141"/>
      <c r="AG31" s="141"/>
      <c r="AH31" s="141"/>
      <c r="AI31" s="141"/>
      <c r="AJ31" s="141"/>
      <c r="AK31" s="141"/>
      <c r="AL31" s="141"/>
      <c r="AM31" s="141"/>
      <c r="AN31" s="141"/>
      <c r="AO31" s="141"/>
      <c r="AP31" s="141"/>
      <c r="AQ31" s="141"/>
      <c r="AR31" s="141"/>
      <c r="AS31" s="141"/>
      <c r="AT31" s="141"/>
      <c r="AU31" s="141"/>
      <c r="AV31" s="141"/>
      <c r="AW31" s="141"/>
      <c r="AX31" s="141"/>
      <c r="AY31" s="141"/>
      <c r="AZ31" s="141"/>
      <c r="BA31" s="141"/>
      <c r="BB31" s="141"/>
      <c r="BC31" s="141"/>
      <c r="BD31" s="23"/>
      <c r="BF31" s="22"/>
      <c r="BG31" s="18" t="s">
        <v>741</v>
      </c>
      <c r="BH31" s="16"/>
      <c r="BI31" s="16"/>
      <c r="BJ31" s="16"/>
      <c r="BK31" s="99"/>
      <c r="BL31" s="99"/>
      <c r="BM31" s="99"/>
      <c r="BN31" s="99"/>
      <c r="BO31" s="99"/>
      <c r="BP31" s="99"/>
      <c r="BQ31" s="99"/>
      <c r="BR31" s="99"/>
      <c r="BS31" s="99"/>
      <c r="BT31" s="99"/>
      <c r="BU31" s="99"/>
      <c r="BV31" s="99"/>
      <c r="BW31" s="99"/>
      <c r="BX31" s="99"/>
      <c r="BY31" s="99"/>
      <c r="BZ31" s="99"/>
      <c r="CA31" s="235"/>
      <c r="CB31" s="23"/>
    </row>
    <row r="32" spans="2:80" x14ac:dyDescent="0.25">
      <c r="B32" s="22"/>
      <c r="C32" s="115" t="s">
        <v>136</v>
      </c>
      <c r="D32" s="116"/>
      <c r="E32" s="116"/>
      <c r="F32" s="29">
        <f>G32+H32+Origen!U24+IF(AS11=C32,AH11,0)+IFERROR(IF(VLOOKUP(Poderes!$A$47,$U$4:$AC$10,1)=Poderes!$A$47,VLOOKUP(C32,CHOOSE({2,1},$AH$4:$AH$10,$AS$4:$AS$10),2,0),0),0)</f>
        <v>0</v>
      </c>
      <c r="G32" s="32">
        <f>(N24+N25)/3</f>
        <v>0</v>
      </c>
      <c r="H32" s="15"/>
      <c r="I32" s="125"/>
      <c r="J32" s="126"/>
      <c r="K32" s="9"/>
      <c r="L32" s="115" t="s">
        <v>135</v>
      </c>
      <c r="M32" s="116"/>
      <c r="N32" s="31">
        <f>O32+P32+Origen!O24</f>
        <v>0</v>
      </c>
      <c r="O32" s="31">
        <f>IF(N23&lt;101,0,N23-100)</f>
        <v>0</v>
      </c>
      <c r="P32" s="142"/>
      <c r="Q32" s="143"/>
      <c r="R32" s="23"/>
      <c r="T32" s="22"/>
      <c r="U32" s="135" t="s">
        <v>394</v>
      </c>
      <c r="V32" s="133"/>
      <c r="W32" s="133"/>
      <c r="X32" s="133"/>
      <c r="Y32" s="133"/>
      <c r="Z32" s="133"/>
      <c r="AA32" s="133"/>
      <c r="AB32" s="133"/>
      <c r="AC32" s="133"/>
      <c r="AD32" s="133"/>
      <c r="AE32" s="133"/>
      <c r="AF32" s="133" t="s">
        <v>467</v>
      </c>
      <c r="AG32" s="133"/>
      <c r="AH32" s="133"/>
      <c r="AI32" s="133"/>
      <c r="AJ32" s="133" t="s">
        <v>396</v>
      </c>
      <c r="AK32" s="133"/>
      <c r="AL32" s="133" t="s">
        <v>397</v>
      </c>
      <c r="AM32" s="133"/>
      <c r="AN32" s="133"/>
      <c r="AO32" s="133"/>
      <c r="AP32" s="133" t="s">
        <v>398</v>
      </c>
      <c r="AQ32" s="133"/>
      <c r="AR32" s="133"/>
      <c r="AS32" s="133" t="s">
        <v>399</v>
      </c>
      <c r="AT32" s="133"/>
      <c r="AU32" s="133" t="s">
        <v>400</v>
      </c>
      <c r="AV32" s="133"/>
      <c r="AW32" s="133"/>
      <c r="AX32" s="133" t="s">
        <v>401</v>
      </c>
      <c r="AY32" s="133"/>
      <c r="AZ32" s="133"/>
      <c r="BA32" s="133" t="s">
        <v>402</v>
      </c>
      <c r="BB32" s="133"/>
      <c r="BC32" s="134"/>
      <c r="BD32" s="23"/>
      <c r="BF32" s="22"/>
      <c r="BG32" s="310" t="s">
        <v>738</v>
      </c>
      <c r="BH32" s="311"/>
      <c r="BI32" s="311"/>
      <c r="BJ32" s="311"/>
      <c r="BK32" s="303"/>
      <c r="BL32" s="303"/>
      <c r="BM32" s="303"/>
      <c r="BN32" s="303"/>
      <c r="BO32" s="303"/>
      <c r="BP32" s="303"/>
      <c r="BQ32" s="303"/>
      <c r="BR32" s="311" t="s">
        <v>740</v>
      </c>
      <c r="BS32" s="311"/>
      <c r="BT32" s="311"/>
      <c r="BU32" s="311"/>
      <c r="BV32" s="312"/>
      <c r="BW32" s="303"/>
      <c r="BX32" s="311" t="s">
        <v>522</v>
      </c>
      <c r="BY32" s="311"/>
      <c r="BZ32" s="303"/>
      <c r="CA32" s="304"/>
      <c r="CB32" s="23"/>
    </row>
    <row r="33" spans="2:80" x14ac:dyDescent="0.25">
      <c r="B33" s="22"/>
      <c r="C33" s="115" t="s">
        <v>138</v>
      </c>
      <c r="D33" s="116"/>
      <c r="E33" s="116"/>
      <c r="F33" s="29">
        <f>G33+H33+IF(AS11=C33,AH11,0)+IFERROR(IF(VLOOKUP(Poderes!$A$47,$U$4:$AC$10,1)=Poderes!$A$47,VLOOKUP(C33,CHOOSE({2,1},$AH$4:$AH$10,$AS$4:$AS$10),2,0),0),0)</f>
        <v>0</v>
      </c>
      <c r="G33" s="32">
        <f>(N21+N25)/2</f>
        <v>0</v>
      </c>
      <c r="H33" s="15"/>
      <c r="I33" s="125"/>
      <c r="J33" s="126"/>
      <c r="K33" s="9"/>
      <c r="L33" s="115" t="s">
        <v>137</v>
      </c>
      <c r="M33" s="116"/>
      <c r="N33" s="31">
        <f t="shared" si="1"/>
        <v>0</v>
      </c>
      <c r="O33" s="31">
        <f>IFERROR(IF(N27&gt;90,25,VLOOKUP(N27,Voluntad!A2:C62,3,FALSE)),0)</f>
        <v>0</v>
      </c>
      <c r="P33" s="142"/>
      <c r="Q33" s="143"/>
      <c r="R33" s="23"/>
      <c r="T33" s="22"/>
      <c r="U33" s="98"/>
      <c r="V33" s="99"/>
      <c r="W33" s="99"/>
      <c r="X33" s="99"/>
      <c r="Y33" s="99"/>
      <c r="Z33" s="99"/>
      <c r="AA33" s="99"/>
      <c r="AB33" s="99"/>
      <c r="AC33" s="99"/>
      <c r="AD33" s="99"/>
      <c r="AE33" s="99"/>
      <c r="AF33" s="139" t="str">
        <f>IFERROR(VLOOKUP(U33,Armas!A3:I23,2,FALSE),"")</f>
        <v/>
      </c>
      <c r="AG33" s="139"/>
      <c r="AH33" s="139"/>
      <c r="AI33" s="139"/>
      <c r="AJ33" s="139" t="str">
        <f>IFERROR(VLOOKUP(U33,Armas!A3:I23,3,FALSE),"")</f>
        <v/>
      </c>
      <c r="AK33" s="139"/>
      <c r="AL33" s="139" t="str">
        <f>IFERROR(VLOOKUP(U33,Armas!A3:I23,4,FALSE),"")</f>
        <v/>
      </c>
      <c r="AM33" s="139"/>
      <c r="AN33" s="139"/>
      <c r="AO33" s="139"/>
      <c r="AP33" s="139" t="str">
        <f>IFERROR(VLOOKUP(U33,Armas!A3:I23,5,FALSE),"")</f>
        <v/>
      </c>
      <c r="AQ33" s="139"/>
      <c r="AR33" s="139"/>
      <c r="AS33" s="139" t="str">
        <f>IFERROR(VLOOKUP(U33,Armas!A3:I23,6,FALSE),"")</f>
        <v/>
      </c>
      <c r="AT33" s="139"/>
      <c r="AU33" s="139" t="str">
        <f>IFERROR(VLOOKUP(U33,Armas!A3:I23,7,FALSE),"")</f>
        <v/>
      </c>
      <c r="AV33" s="139"/>
      <c r="AW33" s="139"/>
      <c r="AX33" s="139" t="str">
        <f>IFERROR(VLOOKUP(U33,Armas!A3:I23,8,FALSE),"")</f>
        <v/>
      </c>
      <c r="AY33" s="139"/>
      <c r="AZ33" s="139"/>
      <c r="BA33" s="139" t="str">
        <f>IFERROR(VLOOKUP(U33,Armas!A3:I23,9,FALSE),"")</f>
        <v/>
      </c>
      <c r="BB33" s="139"/>
      <c r="BC33" s="154"/>
      <c r="BD33" s="23"/>
      <c r="BF33" s="22"/>
      <c r="BG33" s="84" t="s">
        <v>741</v>
      </c>
      <c r="BH33" s="85"/>
      <c r="BI33" s="85"/>
      <c r="BJ33" s="85"/>
      <c r="BK33" s="313"/>
      <c r="BL33" s="313"/>
      <c r="BM33" s="313"/>
      <c r="BN33" s="313"/>
      <c r="BO33" s="313"/>
      <c r="BP33" s="313"/>
      <c r="BQ33" s="313"/>
      <c r="BR33" s="313"/>
      <c r="BS33" s="313"/>
      <c r="BT33" s="313"/>
      <c r="BU33" s="313"/>
      <c r="BV33" s="313"/>
      <c r="BW33" s="313"/>
      <c r="BX33" s="313"/>
      <c r="BY33" s="313"/>
      <c r="BZ33" s="313"/>
      <c r="CA33" s="314"/>
      <c r="CB33" s="23"/>
    </row>
    <row r="34" spans="2:80" x14ac:dyDescent="0.25">
      <c r="B34" s="22"/>
      <c r="C34" s="115" t="s">
        <v>139</v>
      </c>
      <c r="D34" s="116"/>
      <c r="E34" s="116"/>
      <c r="F34" s="29">
        <f>G34+H34+IF(AS11=C34,AH11,0)+IFERROR(IF(VLOOKUP(Poderes!$A$47,$U$4:$AC$10,1)=Poderes!$A$47,VLOOKUP(C34,CHOOSE({2,1},$AH$4:$AH$10,$AS$4:$AS$10),2,0),0),0)</f>
        <v>0</v>
      </c>
      <c r="G34" s="32">
        <f>N24/2</f>
        <v>0</v>
      </c>
      <c r="H34" s="15"/>
      <c r="I34" s="125"/>
      <c r="J34" s="126"/>
      <c r="K34" s="9"/>
      <c r="L34" s="115" t="s">
        <v>106</v>
      </c>
      <c r="M34" s="116"/>
      <c r="N34" s="31">
        <f>O34+P34+IF(OR(COUNTIF(C40:E53,Habilidades!A25)),20,0)</f>
        <v>0</v>
      </c>
      <c r="O34" s="31">
        <f>IF(N23&lt;101,N23/4,VLOOKUP(N23,Agilidad!A2:D162,2,FALSE))</f>
        <v>0</v>
      </c>
      <c r="P34" s="142"/>
      <c r="Q34" s="143"/>
      <c r="R34" s="23"/>
      <c r="T34" s="22"/>
      <c r="U34" s="98"/>
      <c r="V34" s="99"/>
      <c r="W34" s="99"/>
      <c r="X34" s="99"/>
      <c r="Y34" s="99"/>
      <c r="Z34" s="99"/>
      <c r="AA34" s="99"/>
      <c r="AB34" s="99"/>
      <c r="AC34" s="99"/>
      <c r="AD34" s="99"/>
      <c r="AE34" s="99"/>
      <c r="AF34" s="139" t="str">
        <f>IFERROR(VLOOKUP(U34,Armas!A3:I23,2,FALSE),"")</f>
        <v/>
      </c>
      <c r="AG34" s="139"/>
      <c r="AH34" s="139"/>
      <c r="AI34" s="139"/>
      <c r="AJ34" s="139" t="str">
        <f>IFERROR(VLOOKUP(U34,Armas!A3:I23,3,FALSE),"")</f>
        <v/>
      </c>
      <c r="AK34" s="139"/>
      <c r="AL34" s="139" t="str">
        <f>IFERROR(VLOOKUP(U34,Armas!A3:I23,4,FALSE),"")</f>
        <v/>
      </c>
      <c r="AM34" s="139"/>
      <c r="AN34" s="139"/>
      <c r="AO34" s="139"/>
      <c r="AP34" s="139" t="str">
        <f>IFERROR(VLOOKUP(U34,Armas!A3:I23,5,FALSE),"")</f>
        <v/>
      </c>
      <c r="AQ34" s="139"/>
      <c r="AR34" s="139"/>
      <c r="AS34" s="139" t="str">
        <f>IFERROR(VLOOKUP(U34,Armas!A3:I23,6,FALSE),"")</f>
        <v/>
      </c>
      <c r="AT34" s="139"/>
      <c r="AU34" s="139" t="str">
        <f>IFERROR(VLOOKUP(U34,Armas!A3:I23,7,FALSE),"")</f>
        <v/>
      </c>
      <c r="AV34" s="139"/>
      <c r="AW34" s="139"/>
      <c r="AX34" s="139" t="str">
        <f>IFERROR(VLOOKUP(U34,Armas!A3:I23,8,FALSE),"")</f>
        <v/>
      </c>
      <c r="AY34" s="139"/>
      <c r="AZ34" s="139"/>
      <c r="BA34" s="139" t="str">
        <f>IFERROR(VLOOKUP(U34,Armas!A3:I23,9,FALSE),"")</f>
        <v/>
      </c>
      <c r="BB34" s="139"/>
      <c r="BC34" s="154"/>
      <c r="BD34" s="23"/>
      <c r="BF34" s="22"/>
      <c r="BG34" s="9"/>
      <c r="BH34" s="9"/>
      <c r="BI34" s="9"/>
      <c r="BJ34" s="9"/>
      <c r="BK34" s="9"/>
      <c r="BL34" s="9"/>
      <c r="BM34" s="9"/>
      <c r="BN34" s="9"/>
      <c r="BO34" s="9"/>
      <c r="BP34" s="9"/>
      <c r="BQ34" s="9"/>
      <c r="BR34" s="9"/>
      <c r="BS34" s="9"/>
      <c r="BT34" s="9"/>
      <c r="BU34" s="9"/>
      <c r="BV34" s="9"/>
      <c r="BW34" s="9"/>
      <c r="BX34" s="9"/>
      <c r="BY34" s="9"/>
      <c r="BZ34" s="9"/>
      <c r="CA34" s="9"/>
      <c r="CB34" s="23"/>
    </row>
    <row r="35" spans="2:80" x14ac:dyDescent="0.25">
      <c r="B35" s="22"/>
      <c r="C35" s="115" t="s">
        <v>140</v>
      </c>
      <c r="D35" s="116"/>
      <c r="E35" s="116"/>
      <c r="F35" s="29">
        <f>G35+H35+Origen!M24+IF(AS11=C35,AH11,0)+IFERROR(IF(VLOOKUP(Poderes!$A$47,$U$4:$AC$10,1)=Poderes!$A$47,VLOOKUP(C35,CHOOSE({2,1},$AH$4:$AH$10,$AS$4:$AS$10),2,0),0),0)</f>
        <v>0</v>
      </c>
      <c r="G35" s="32">
        <f>(N25+N27)/4</f>
        <v>0</v>
      </c>
      <c r="H35" s="15"/>
      <c r="I35" s="121"/>
      <c r="J35" s="122"/>
      <c r="K35" s="9"/>
      <c r="L35" s="115" t="s">
        <v>0</v>
      </c>
      <c r="M35" s="116"/>
      <c r="N35" s="31">
        <f t="shared" si="1"/>
        <v>0</v>
      </c>
      <c r="O35" s="31">
        <f>IFERROR(IF(N27&gt;90,50,VLOOKUP(N27,Voluntad!A2:C62,2,FALSE)),0)</f>
        <v>0</v>
      </c>
      <c r="P35" s="142"/>
      <c r="Q35" s="143"/>
      <c r="R35" s="23"/>
      <c r="T35" s="22"/>
      <c r="U35" s="98"/>
      <c r="V35" s="99"/>
      <c r="W35" s="99"/>
      <c r="X35" s="99"/>
      <c r="Y35" s="99"/>
      <c r="Z35" s="99"/>
      <c r="AA35" s="99"/>
      <c r="AB35" s="99"/>
      <c r="AC35" s="99"/>
      <c r="AD35" s="99"/>
      <c r="AE35" s="99"/>
      <c r="AF35" s="139" t="str">
        <f>IFERROR(VLOOKUP(U35,Armas!A3:I23,2,FALSE),"")</f>
        <v/>
      </c>
      <c r="AG35" s="139"/>
      <c r="AH35" s="139"/>
      <c r="AI35" s="139"/>
      <c r="AJ35" s="139" t="str">
        <f>IFERROR(VLOOKUP(U35,Armas!A3:I23,3,FALSE),"")</f>
        <v/>
      </c>
      <c r="AK35" s="139"/>
      <c r="AL35" s="139" t="str">
        <f>IFERROR(VLOOKUP(U35,Armas!A3:I23,4,FALSE),"")</f>
        <v/>
      </c>
      <c r="AM35" s="139"/>
      <c r="AN35" s="139"/>
      <c r="AO35" s="139"/>
      <c r="AP35" s="139" t="str">
        <f>IFERROR(VLOOKUP(U35,Armas!A3:I23,5,FALSE),"")</f>
        <v/>
      </c>
      <c r="AQ35" s="139"/>
      <c r="AR35" s="139"/>
      <c r="AS35" s="139" t="str">
        <f>IFERROR(VLOOKUP(U35,Armas!A3:I23,6,FALSE),"")</f>
        <v/>
      </c>
      <c r="AT35" s="139"/>
      <c r="AU35" s="139" t="str">
        <f>IFERROR(VLOOKUP(U35,Armas!A3:I23,7,FALSE),"")</f>
        <v/>
      </c>
      <c r="AV35" s="139"/>
      <c r="AW35" s="139"/>
      <c r="AX35" s="139" t="str">
        <f>IFERROR(VLOOKUP(U35,Armas!A3:I23,8,FALSE),"")</f>
        <v/>
      </c>
      <c r="AY35" s="139"/>
      <c r="AZ35" s="139"/>
      <c r="BA35" s="139" t="str">
        <f>IFERROR(VLOOKUP(U35,Armas!A3:I23,9,FALSE),"")</f>
        <v/>
      </c>
      <c r="BB35" s="139"/>
      <c r="BC35" s="154"/>
      <c r="BD35" s="23"/>
      <c r="BF35" s="22"/>
      <c r="BG35" s="241" t="s">
        <v>745</v>
      </c>
      <c r="BH35" s="242"/>
      <c r="BI35" s="242"/>
      <c r="BJ35" s="242"/>
      <c r="BK35" s="242"/>
      <c r="BL35" s="242"/>
      <c r="BM35" s="242"/>
      <c r="BN35" s="242"/>
      <c r="BO35" s="242"/>
      <c r="BP35" s="242"/>
      <c r="BQ35" s="242"/>
      <c r="BR35" s="242"/>
      <c r="BS35" s="242"/>
      <c r="BT35" s="242"/>
      <c r="BU35" s="242"/>
      <c r="BV35" s="242"/>
      <c r="BW35" s="242"/>
      <c r="BX35" s="242"/>
      <c r="BY35" s="242"/>
      <c r="BZ35" s="242"/>
      <c r="CA35" s="243"/>
      <c r="CB35" s="23"/>
    </row>
    <row r="36" spans="2:80" x14ac:dyDescent="0.25">
      <c r="B36" s="22"/>
      <c r="C36" s="129" t="s">
        <v>142</v>
      </c>
      <c r="D36" s="130"/>
      <c r="E36" s="130"/>
      <c r="F36" s="29">
        <f>G36+H36+Origen!N24+IF(AS11=C36,AH11,0)+IFERROR(IF(VLOOKUP(Poderes!$A$47,$U$4:$AC$10,1)=Poderes!$A$47,VLOOKUP(C36,CHOOSE({2,1},$AH$4:$AH$10,$AS$4:$AS$10),2,0),0),0)</f>
        <v>0</v>
      </c>
      <c r="G36" s="33">
        <f>N23</f>
        <v>0</v>
      </c>
      <c r="H36" s="15"/>
      <c r="I36" s="127"/>
      <c r="J36" s="128"/>
      <c r="K36" s="9"/>
      <c r="L36" s="129" t="s">
        <v>141</v>
      </c>
      <c r="M36" s="130"/>
      <c r="N36" s="146">
        <f>IFERROR(ROUND(VLOOKUP(N24,Agilidad!A3:D163,4,FALSE),0)&amp;"m / "&amp;ROUND(VLOOKUP(N24,Agilidad!A3:D163,4,FALSE)/3,0) &amp; "m",0)</f>
        <v>0</v>
      </c>
      <c r="O36" s="146"/>
      <c r="P36" s="147" t="s">
        <v>151</v>
      </c>
      <c r="Q36" s="148"/>
      <c r="R36" s="23"/>
      <c r="T36" s="22"/>
      <c r="U36" s="98"/>
      <c r="V36" s="99"/>
      <c r="W36" s="99"/>
      <c r="X36" s="99"/>
      <c r="Y36" s="99"/>
      <c r="Z36" s="99"/>
      <c r="AA36" s="99"/>
      <c r="AB36" s="99"/>
      <c r="AC36" s="99"/>
      <c r="AD36" s="99"/>
      <c r="AE36" s="99"/>
      <c r="AF36" s="139" t="str">
        <f>IFERROR(VLOOKUP(U36,Armas!A3:I23,2,FALSE),"")</f>
        <v/>
      </c>
      <c r="AG36" s="139"/>
      <c r="AH36" s="139"/>
      <c r="AI36" s="139"/>
      <c r="AJ36" s="139" t="str">
        <f>IFERROR(VLOOKUP(U36,Armas!A3:I23,3,FALSE),"")</f>
        <v/>
      </c>
      <c r="AK36" s="139"/>
      <c r="AL36" s="139" t="str">
        <f>IFERROR(VLOOKUP(U36,Armas!A3:I23,4,FALSE),"")</f>
        <v/>
      </c>
      <c r="AM36" s="139"/>
      <c r="AN36" s="139"/>
      <c r="AO36" s="139"/>
      <c r="AP36" s="139" t="str">
        <f>IFERROR(VLOOKUP(U36,Armas!A3:I23,5,FALSE),"")</f>
        <v/>
      </c>
      <c r="AQ36" s="139"/>
      <c r="AR36" s="139"/>
      <c r="AS36" s="139" t="str">
        <f>IFERROR(VLOOKUP(U36,Armas!A3:I23,6,FALSE),"")</f>
        <v/>
      </c>
      <c r="AT36" s="139"/>
      <c r="AU36" s="139" t="str">
        <f>IFERROR(VLOOKUP(U36,Armas!A3:I23,7,FALSE),"")</f>
        <v/>
      </c>
      <c r="AV36" s="139"/>
      <c r="AW36" s="139"/>
      <c r="AX36" s="139" t="str">
        <f>IFERROR(VLOOKUP(U36,Armas!A3:I23,8,FALSE),"")</f>
        <v/>
      </c>
      <c r="AY36" s="139"/>
      <c r="AZ36" s="139"/>
      <c r="BA36" s="139" t="str">
        <f>IFERROR(VLOOKUP(U36,Armas!A3:I23,9,FALSE),"")</f>
        <v/>
      </c>
      <c r="BB36" s="139"/>
      <c r="BC36" s="154"/>
      <c r="BD36" s="23"/>
      <c r="BF36" s="22"/>
      <c r="BG36" s="315" t="s">
        <v>750</v>
      </c>
      <c r="BH36" s="121"/>
      <c r="BI36" s="121"/>
      <c r="BJ36" s="121"/>
      <c r="BK36" s="121"/>
      <c r="BL36" s="116"/>
      <c r="BM36" s="116"/>
      <c r="BN36" s="116"/>
      <c r="BO36" s="116"/>
      <c r="BP36" s="116"/>
      <c r="BQ36" s="116"/>
      <c r="BR36" s="116"/>
      <c r="BS36" s="116"/>
      <c r="BT36" s="116"/>
      <c r="BU36" s="116"/>
      <c r="BV36" s="125" t="s">
        <v>539</v>
      </c>
      <c r="BW36" s="191"/>
      <c r="BX36" s="190"/>
      <c r="BY36" s="92"/>
      <c r="BZ36" s="93"/>
      <c r="CA36" s="94"/>
      <c r="CB36" s="23"/>
    </row>
    <row r="37" spans="2:80" x14ac:dyDescent="0.25">
      <c r="B37" s="22"/>
      <c r="C37" s="9"/>
      <c r="D37" s="9"/>
      <c r="E37" s="9"/>
      <c r="F37" s="9"/>
      <c r="G37" s="13"/>
      <c r="H37" s="9"/>
      <c r="I37" s="9"/>
      <c r="J37" s="9"/>
      <c r="K37" s="9"/>
      <c r="L37" s="9"/>
      <c r="M37" s="9"/>
      <c r="N37" s="9"/>
      <c r="O37" s="9"/>
      <c r="P37" s="9"/>
      <c r="Q37" s="9"/>
      <c r="R37" s="23"/>
      <c r="T37" s="22"/>
      <c r="U37" s="98"/>
      <c r="V37" s="99"/>
      <c r="W37" s="99"/>
      <c r="X37" s="99"/>
      <c r="Y37" s="99"/>
      <c r="Z37" s="99"/>
      <c r="AA37" s="99"/>
      <c r="AB37" s="99"/>
      <c r="AC37" s="99"/>
      <c r="AD37" s="99"/>
      <c r="AE37" s="99"/>
      <c r="AF37" s="139" t="str">
        <f>IFERROR(VLOOKUP(U37,Armas!A3:I23,2,FALSE),"")</f>
        <v/>
      </c>
      <c r="AG37" s="139"/>
      <c r="AH37" s="139"/>
      <c r="AI37" s="139"/>
      <c r="AJ37" s="139" t="str">
        <f>IFERROR(VLOOKUP(U37,Armas!A3:I23,3,FALSE),"")</f>
        <v/>
      </c>
      <c r="AK37" s="139"/>
      <c r="AL37" s="139" t="str">
        <f>IFERROR(VLOOKUP(U37,Armas!A3:I23,4,FALSE),"")</f>
        <v/>
      </c>
      <c r="AM37" s="139"/>
      <c r="AN37" s="139"/>
      <c r="AO37" s="139"/>
      <c r="AP37" s="139" t="str">
        <f>IFERROR(VLOOKUP(U37,Armas!A3:I23,5,FALSE),"")</f>
        <v/>
      </c>
      <c r="AQ37" s="139"/>
      <c r="AR37" s="139"/>
      <c r="AS37" s="139" t="str">
        <f>IFERROR(VLOOKUP(U37,Armas!A3:I23,6,FALSE),"")</f>
        <v/>
      </c>
      <c r="AT37" s="139"/>
      <c r="AU37" s="139" t="str">
        <f>IFERROR(VLOOKUP(U37,Armas!A3:I23,7,FALSE),"")</f>
        <v/>
      </c>
      <c r="AV37" s="139"/>
      <c r="AW37" s="139"/>
      <c r="AX37" s="139" t="str">
        <f>IFERROR(VLOOKUP(U37,Armas!A3:I23,8,FALSE),"")</f>
        <v/>
      </c>
      <c r="AY37" s="139"/>
      <c r="AZ37" s="139"/>
      <c r="BA37" s="139" t="str">
        <f>IFERROR(VLOOKUP(U37,Armas!A3:I23,9,FALSE),"")</f>
        <v/>
      </c>
      <c r="BB37" s="139"/>
      <c r="BC37" s="154"/>
      <c r="BD37" s="23"/>
      <c r="BF37" s="22"/>
      <c r="BG37" s="106" t="s">
        <v>753</v>
      </c>
      <c r="BH37" s="107"/>
      <c r="BI37" s="107"/>
      <c r="BJ37" s="107"/>
      <c r="BK37" s="107"/>
      <c r="BL37" s="107"/>
      <c r="BM37" s="107"/>
      <c r="BN37" s="107"/>
      <c r="BO37" s="107"/>
      <c r="BP37" s="107"/>
      <c r="BQ37" s="107"/>
      <c r="BR37" s="107"/>
      <c r="BS37" s="107"/>
      <c r="BT37" s="107"/>
      <c r="BU37" s="107"/>
      <c r="BV37" s="107"/>
      <c r="BW37" s="107"/>
      <c r="BX37" s="107"/>
      <c r="BY37" s="107"/>
      <c r="BZ37" s="107"/>
      <c r="CA37" s="294"/>
      <c r="CB37" s="23"/>
    </row>
    <row r="38" spans="2:80" ht="15" customHeight="1" x14ac:dyDescent="0.3">
      <c r="B38" s="22"/>
      <c r="C38" s="120" t="s">
        <v>154</v>
      </c>
      <c r="D38" s="120"/>
      <c r="E38" s="120"/>
      <c r="F38" s="120"/>
      <c r="G38" s="120"/>
      <c r="H38" s="210" t="s">
        <v>681</v>
      </c>
      <c r="I38" s="212"/>
      <c r="J38" s="57"/>
      <c r="K38" s="9"/>
      <c r="L38" s="141" t="s">
        <v>570</v>
      </c>
      <c r="M38" s="141"/>
      <c r="N38" s="81" t="s">
        <v>522</v>
      </c>
      <c r="O38" s="141" t="s">
        <v>225</v>
      </c>
      <c r="P38" s="141"/>
      <c r="Q38" s="141"/>
      <c r="R38" s="23"/>
      <c r="T38" s="22"/>
      <c r="U38" s="236" t="s">
        <v>468</v>
      </c>
      <c r="V38" s="237"/>
      <c r="W38" s="237"/>
      <c r="X38" s="237"/>
      <c r="Y38" s="237"/>
      <c r="Z38" s="237"/>
      <c r="AA38" s="237"/>
      <c r="AB38" s="237"/>
      <c r="AC38" s="237"/>
      <c r="AD38" s="237"/>
      <c r="AE38" s="237"/>
      <c r="AF38" s="237"/>
      <c r="AG38" s="237"/>
      <c r="AH38" s="237"/>
      <c r="AI38" s="237"/>
      <c r="AJ38" s="237"/>
      <c r="AK38" s="237"/>
      <c r="AL38" s="237"/>
      <c r="AM38" s="237"/>
      <c r="AN38" s="237"/>
      <c r="AO38" s="237"/>
      <c r="AP38" s="237"/>
      <c r="AQ38" s="237"/>
      <c r="AR38" s="237"/>
      <c r="AS38" s="237"/>
      <c r="AT38" s="237"/>
      <c r="AU38" s="237"/>
      <c r="AV38" s="237"/>
      <c r="AW38" s="237"/>
      <c r="AX38" s="237"/>
      <c r="AY38" s="237"/>
      <c r="AZ38" s="237"/>
      <c r="BA38" s="237"/>
      <c r="BB38" s="237"/>
      <c r="BC38" s="238"/>
      <c r="BD38" s="23"/>
      <c r="BF38" s="22"/>
      <c r="BG38" s="316" t="s">
        <v>754</v>
      </c>
      <c r="BH38" s="317"/>
      <c r="BI38" s="317"/>
      <c r="BJ38" s="317"/>
      <c r="BK38" s="317"/>
      <c r="BL38" s="317"/>
      <c r="BM38" s="317"/>
      <c r="BN38" s="317"/>
      <c r="BO38" s="317"/>
      <c r="BP38" s="317"/>
      <c r="BQ38" s="317"/>
      <c r="BR38" s="317"/>
      <c r="BS38" s="317"/>
      <c r="BT38" s="317"/>
      <c r="BU38" s="317"/>
      <c r="BV38" s="317"/>
      <c r="BW38" s="317"/>
      <c r="BX38" s="317"/>
      <c r="BY38" s="317"/>
      <c r="BZ38" s="317"/>
      <c r="CA38" s="318"/>
      <c r="CB38" s="23"/>
    </row>
    <row r="39" spans="2:80" ht="15" customHeight="1" x14ac:dyDescent="0.25">
      <c r="B39" s="22"/>
      <c r="C39" s="135" t="s">
        <v>221</v>
      </c>
      <c r="D39" s="133"/>
      <c r="E39" s="133"/>
      <c r="F39" s="74" t="s">
        <v>224</v>
      </c>
      <c r="G39" s="56" t="s">
        <v>222</v>
      </c>
      <c r="H39" s="56" t="s">
        <v>223</v>
      </c>
      <c r="I39" s="133" t="s">
        <v>225</v>
      </c>
      <c r="J39" s="134"/>
      <c r="K39" s="9"/>
      <c r="L39" s="257"/>
      <c r="M39" s="258"/>
      <c r="N39" s="80"/>
      <c r="O39" s="259"/>
      <c r="P39" s="259"/>
      <c r="Q39" s="260"/>
      <c r="R39" s="23"/>
      <c r="T39" s="22"/>
      <c r="U39" s="9"/>
      <c r="V39" s="9"/>
      <c r="W39" s="9"/>
      <c r="X39" s="9"/>
      <c r="Y39" s="9"/>
      <c r="Z39" s="9"/>
      <c r="AA39" s="9"/>
      <c r="AB39" s="9"/>
      <c r="AC39" s="9"/>
      <c r="AD39" s="9"/>
      <c r="AE39" s="9"/>
      <c r="AF39" s="9"/>
      <c r="AG39" s="9"/>
      <c r="AH39" s="9"/>
      <c r="AI39" s="9"/>
      <c r="AJ39" s="9"/>
      <c r="AK39" s="9"/>
      <c r="AL39" s="9"/>
      <c r="AM39" s="9"/>
      <c r="AN39" s="9"/>
      <c r="AO39" s="9"/>
      <c r="AP39" s="9"/>
      <c r="AQ39" s="9"/>
      <c r="AR39" s="9"/>
      <c r="AS39" s="9"/>
      <c r="AT39" s="9"/>
      <c r="AU39" s="9"/>
      <c r="AV39" s="9"/>
      <c r="AW39" s="9"/>
      <c r="AX39" s="9"/>
      <c r="AY39" s="9"/>
      <c r="AZ39" s="9"/>
      <c r="BA39" s="9"/>
      <c r="BB39" s="9"/>
      <c r="BC39" s="9"/>
      <c r="BD39" s="23"/>
      <c r="BF39" s="22"/>
      <c r="BG39" s="319"/>
      <c r="BH39" s="320"/>
      <c r="BI39" s="320"/>
      <c r="BJ39" s="320"/>
      <c r="BK39" s="320"/>
      <c r="BL39" s="320"/>
      <c r="BM39" s="320"/>
      <c r="BN39" s="320"/>
      <c r="BO39" s="320"/>
      <c r="BP39" s="320"/>
      <c r="BQ39" s="320"/>
      <c r="BR39" s="320"/>
      <c r="BS39" s="320"/>
      <c r="BT39" s="320"/>
      <c r="BU39" s="320"/>
      <c r="BV39" s="320"/>
      <c r="BW39" s="320"/>
      <c r="BX39" s="320"/>
      <c r="BY39" s="320"/>
      <c r="BZ39" s="320"/>
      <c r="CA39" s="321"/>
      <c r="CB39" s="23"/>
    </row>
    <row r="40" spans="2:80" ht="15" customHeight="1" x14ac:dyDescent="0.25">
      <c r="B40" s="22"/>
      <c r="C40" s="115"/>
      <c r="D40" s="116"/>
      <c r="E40" s="116"/>
      <c r="F40" s="34" t="str">
        <f>IFERROR(IFERROR((G40+H40)+IFERROR(IF(ISBLANK(C40),0,HLOOKUP(C40,Origen!$M$23:$AK$24,2,FALSE)),0),"")+IFERROR(IF(VLOOKUP(Poderes!$A$47,$U$4:$AC$10,1)=Poderes!$A$47,VLOOKUP(C40,CHOOSE({2,1},$AH$4:$AH$10,$AS$4:$AS$10),2,0),0),0),"")</f>
        <v/>
      </c>
      <c r="G40" s="29" t="str">
        <f>IFERROR(VLOOKUP(C40,Habilidades!$A$2:$C$29,2,FALSE),"")</f>
        <v/>
      </c>
      <c r="H40" s="15"/>
      <c r="I40" s="121"/>
      <c r="J40" s="122"/>
      <c r="K40" s="9"/>
      <c r="L40" s="261"/>
      <c r="M40" s="262"/>
      <c r="N40" s="49"/>
      <c r="O40" s="263"/>
      <c r="P40" s="263"/>
      <c r="Q40" s="264"/>
      <c r="R40" s="23"/>
      <c r="T40" s="22"/>
      <c r="U40" s="141" t="s">
        <v>474</v>
      </c>
      <c r="V40" s="141"/>
      <c r="W40" s="141"/>
      <c r="X40" s="141"/>
      <c r="Y40" s="141"/>
      <c r="Z40" s="141"/>
      <c r="AA40" s="141"/>
      <c r="AB40" s="141"/>
      <c r="AC40" s="141"/>
      <c r="AD40" s="141"/>
      <c r="AE40" s="141"/>
      <c r="AF40" s="141"/>
      <c r="AG40" s="141"/>
      <c r="AH40" s="141"/>
      <c r="AI40" s="141"/>
      <c r="AJ40" s="141"/>
      <c r="AK40" s="141"/>
      <c r="AL40" s="141"/>
      <c r="AM40" s="141"/>
      <c r="AN40" s="141"/>
      <c r="AO40" s="141"/>
      <c r="AP40" s="141"/>
      <c r="AQ40" s="141"/>
      <c r="AR40" s="141"/>
      <c r="AS40" s="141"/>
      <c r="AT40" s="141"/>
      <c r="AU40" s="141"/>
      <c r="AV40" s="141"/>
      <c r="AW40" s="141"/>
      <c r="AX40" s="141"/>
      <c r="AY40" s="141"/>
      <c r="AZ40" s="141"/>
      <c r="BA40" s="141"/>
      <c r="BB40" s="141"/>
      <c r="BC40" s="141"/>
      <c r="BD40" s="23"/>
      <c r="BF40" s="22"/>
      <c r="BG40" s="319"/>
      <c r="BH40" s="320"/>
      <c r="BI40" s="320"/>
      <c r="BJ40" s="320"/>
      <c r="BK40" s="320"/>
      <c r="BL40" s="320"/>
      <c r="BM40" s="320"/>
      <c r="BN40" s="320"/>
      <c r="BO40" s="320"/>
      <c r="BP40" s="320"/>
      <c r="BQ40" s="320"/>
      <c r="BR40" s="320"/>
      <c r="BS40" s="320"/>
      <c r="BT40" s="320"/>
      <c r="BU40" s="320"/>
      <c r="BV40" s="320"/>
      <c r="BW40" s="320"/>
      <c r="BX40" s="320"/>
      <c r="BY40" s="320"/>
      <c r="BZ40" s="320"/>
      <c r="CA40" s="321"/>
      <c r="CB40" s="23"/>
    </row>
    <row r="41" spans="2:80" x14ac:dyDescent="0.25">
      <c r="B41" s="22"/>
      <c r="C41" s="115"/>
      <c r="D41" s="116"/>
      <c r="E41" s="116"/>
      <c r="F41" s="34" t="str">
        <f>IFERROR(IFERROR((G41+H41)+IFERROR(IF(ISBLANK(C41),0,HLOOKUP(C41,Origen!$M$23:$AK$24,2,FALSE)),0),"")+IFERROR(IF(VLOOKUP(Poderes!$A$47,$U$4:$AC$10,1)=Poderes!$A$47,VLOOKUP(C41,CHOOSE({2,1},$AH$4:$AH$10,$AS$4:$AS$10),2,0),0),0),"")</f>
        <v/>
      </c>
      <c r="G41" s="29" t="str">
        <f>IFERROR(VLOOKUP(C41,Habilidades!$A$2:$C$29,2,FALSE),"")</f>
        <v/>
      </c>
      <c r="H41" s="15"/>
      <c r="I41" s="121"/>
      <c r="J41" s="122"/>
      <c r="K41" s="9"/>
      <c r="L41" s="265"/>
      <c r="M41" s="266"/>
      <c r="N41" s="50"/>
      <c r="O41" s="267"/>
      <c r="P41" s="267"/>
      <c r="Q41" s="268"/>
      <c r="R41" s="23"/>
      <c r="T41" s="22"/>
      <c r="U41" s="135" t="s">
        <v>469</v>
      </c>
      <c r="V41" s="133"/>
      <c r="W41" s="133"/>
      <c r="X41" s="133"/>
      <c r="Y41" s="133"/>
      <c r="Z41" s="133"/>
      <c r="AA41" s="133" t="s">
        <v>507</v>
      </c>
      <c r="AB41" s="133"/>
      <c r="AC41" s="133"/>
      <c r="AD41" s="133"/>
      <c r="AE41" s="133"/>
      <c r="AF41" s="133" t="s">
        <v>508</v>
      </c>
      <c r="AG41" s="133"/>
      <c r="AH41" s="133"/>
      <c r="AI41" s="133"/>
      <c r="AJ41" s="133" t="s">
        <v>470</v>
      </c>
      <c r="AK41" s="133"/>
      <c r="AL41" s="133"/>
      <c r="AM41" s="133"/>
      <c r="AN41" s="133"/>
      <c r="AO41" s="133"/>
      <c r="AP41" s="133"/>
      <c r="AQ41" s="133"/>
      <c r="AR41" s="133"/>
      <c r="AS41" s="133" t="s">
        <v>471</v>
      </c>
      <c r="AT41" s="133"/>
      <c r="AU41" s="133"/>
      <c r="AV41" s="133"/>
      <c r="AW41" s="133" t="s">
        <v>225</v>
      </c>
      <c r="AX41" s="133"/>
      <c r="AY41" s="133"/>
      <c r="AZ41" s="133"/>
      <c r="BA41" s="133"/>
      <c r="BB41" s="133"/>
      <c r="BC41" s="134"/>
      <c r="BD41" s="23"/>
      <c r="BF41" s="22"/>
      <c r="BG41" s="319"/>
      <c r="BH41" s="320"/>
      <c r="BI41" s="320"/>
      <c r="BJ41" s="320"/>
      <c r="BK41" s="320"/>
      <c r="BL41" s="320"/>
      <c r="BM41" s="320"/>
      <c r="BN41" s="320"/>
      <c r="BO41" s="320"/>
      <c r="BP41" s="320"/>
      <c r="BQ41" s="320"/>
      <c r="BR41" s="320"/>
      <c r="BS41" s="320"/>
      <c r="BT41" s="320"/>
      <c r="BU41" s="320"/>
      <c r="BV41" s="320"/>
      <c r="BW41" s="320"/>
      <c r="BX41" s="320"/>
      <c r="BY41" s="320"/>
      <c r="BZ41" s="320"/>
      <c r="CA41" s="321"/>
      <c r="CB41" s="23"/>
    </row>
    <row r="42" spans="2:80" x14ac:dyDescent="0.25">
      <c r="B42" s="22"/>
      <c r="C42" s="115"/>
      <c r="D42" s="116"/>
      <c r="E42" s="116"/>
      <c r="F42" s="34" t="str">
        <f>IFERROR(IFERROR((G42+H42)+IFERROR(IF(ISBLANK(C42),0,HLOOKUP(C42,Origen!$M$23:$AK$24,2,FALSE)),0),"")+IFERROR(IF(VLOOKUP(Poderes!$A$47,$U$4:$AC$10,1)=Poderes!$A$47,VLOOKUP(C42,CHOOSE({2,1},$AH$4:$AH$10,$AS$4:$AS$10),2,0),0),0),"")</f>
        <v/>
      </c>
      <c r="G42" s="29" t="str">
        <f>IFERROR(VLOOKUP(C42,Habilidades!$A$2:$C$29,2,FALSE),"")</f>
        <v/>
      </c>
      <c r="H42" s="15"/>
      <c r="I42" s="121"/>
      <c r="J42" s="122"/>
      <c r="K42" s="9"/>
      <c r="L42" s="48"/>
      <c r="M42" s="48"/>
      <c r="N42" s="48"/>
      <c r="O42" s="48"/>
      <c r="P42" s="48"/>
      <c r="Q42" s="48"/>
      <c r="R42" s="23"/>
      <c r="T42" s="22"/>
      <c r="U42" s="98"/>
      <c r="V42" s="99"/>
      <c r="W42" s="99"/>
      <c r="X42" s="99"/>
      <c r="Y42" s="99"/>
      <c r="Z42" s="99"/>
      <c r="AA42" s="139" t="str">
        <f>IFERROR(VLOOKUP(U42,Armas!K3:M21,2,FALSE),"")</f>
        <v/>
      </c>
      <c r="AB42" s="139"/>
      <c r="AC42" s="139"/>
      <c r="AD42" s="139"/>
      <c r="AE42" s="139"/>
      <c r="AF42" s="139" t="str">
        <f>IFERROR(VLOOKUP(U42,Armas!K3:M21,3,FALSE),"")</f>
        <v/>
      </c>
      <c r="AG42" s="139"/>
      <c r="AH42" s="139"/>
      <c r="AI42" s="139"/>
      <c r="AJ42" s="99"/>
      <c r="AK42" s="99"/>
      <c r="AL42" s="99"/>
      <c r="AM42" s="99"/>
      <c r="AN42" s="99"/>
      <c r="AO42" s="99"/>
      <c r="AP42" s="99"/>
      <c r="AQ42" s="99"/>
      <c r="AR42" s="99"/>
      <c r="AS42" s="139" t="str">
        <f>IFERROR(VLOOKUP(AJ42,Armas!O3:P9,2,FALSE),"")</f>
        <v/>
      </c>
      <c r="AT42" s="139"/>
      <c r="AU42" s="139"/>
      <c r="AV42" s="139"/>
      <c r="AW42" s="99"/>
      <c r="AX42" s="99"/>
      <c r="AY42" s="99"/>
      <c r="AZ42" s="99"/>
      <c r="BA42" s="99"/>
      <c r="BB42" s="99"/>
      <c r="BC42" s="235"/>
      <c r="BD42" s="23"/>
      <c r="BF42" s="22"/>
      <c r="BG42" s="319"/>
      <c r="BH42" s="320"/>
      <c r="BI42" s="320"/>
      <c r="BJ42" s="320"/>
      <c r="BK42" s="320"/>
      <c r="BL42" s="320"/>
      <c r="BM42" s="320"/>
      <c r="BN42" s="320"/>
      <c r="BO42" s="320"/>
      <c r="BP42" s="320"/>
      <c r="BQ42" s="320"/>
      <c r="BR42" s="320"/>
      <c r="BS42" s="320"/>
      <c r="BT42" s="320"/>
      <c r="BU42" s="320"/>
      <c r="BV42" s="320"/>
      <c r="BW42" s="320"/>
      <c r="BX42" s="320"/>
      <c r="BY42" s="320"/>
      <c r="BZ42" s="320"/>
      <c r="CA42" s="321"/>
      <c r="CB42" s="23"/>
    </row>
    <row r="43" spans="2:80" x14ac:dyDescent="0.25">
      <c r="B43" s="22"/>
      <c r="C43" s="115"/>
      <c r="D43" s="116"/>
      <c r="E43" s="116"/>
      <c r="F43" s="34" t="str">
        <f>IFERROR(IFERROR((G43+H43)+IFERROR(IF(ISBLANK(C43),0,HLOOKUP(C43,Origen!$M$23:$AK$24,2,FALSE)),0),"")+IFERROR(IF(VLOOKUP(Poderes!$A$47,$U$4:$AC$10,1)=Poderes!$A$47,VLOOKUP(C43,CHOOSE({2,1},$AH$4:$AH$10,$AS$4:$AS$10),2,0),0),0),"")</f>
        <v/>
      </c>
      <c r="G43" s="29" t="str">
        <f>IFERROR(VLOOKUP(C43,Habilidades!$A$2:$C$29,2,FALSE),"")</f>
        <v/>
      </c>
      <c r="H43" s="15"/>
      <c r="I43" s="121"/>
      <c r="J43" s="122"/>
      <c r="K43" s="9"/>
      <c r="L43" s="269" t="s">
        <v>623</v>
      </c>
      <c r="M43" s="270"/>
      <c r="N43" s="270"/>
      <c r="O43" s="270"/>
      <c r="P43" s="270"/>
      <c r="Q43" s="271"/>
      <c r="R43" s="23"/>
      <c r="T43" s="22"/>
      <c r="U43" s="98"/>
      <c r="V43" s="99"/>
      <c r="W43" s="99"/>
      <c r="X43" s="99"/>
      <c r="Y43" s="99"/>
      <c r="Z43" s="99"/>
      <c r="AA43" s="139" t="str">
        <f>IFERROR(VLOOKUP(U43,Armas!K3:M21,2,FALSE),"")</f>
        <v/>
      </c>
      <c r="AB43" s="139"/>
      <c r="AC43" s="139"/>
      <c r="AD43" s="139"/>
      <c r="AE43" s="139"/>
      <c r="AF43" s="139" t="str">
        <f>IFERROR(VLOOKUP(U43,Armas!K3:M21,3,FALSE),"")</f>
        <v/>
      </c>
      <c r="AG43" s="139"/>
      <c r="AH43" s="139"/>
      <c r="AI43" s="139"/>
      <c r="AJ43" s="99"/>
      <c r="AK43" s="99"/>
      <c r="AL43" s="99"/>
      <c r="AM43" s="99"/>
      <c r="AN43" s="99"/>
      <c r="AO43" s="99"/>
      <c r="AP43" s="99"/>
      <c r="AQ43" s="99"/>
      <c r="AR43" s="99"/>
      <c r="AS43" s="139" t="str">
        <f>IFERROR(VLOOKUP(AJ43,Armas!O3:P9,2,FALSE),"")</f>
        <v/>
      </c>
      <c r="AT43" s="139"/>
      <c r="AU43" s="139"/>
      <c r="AV43" s="139"/>
      <c r="AW43" s="99"/>
      <c r="AX43" s="99"/>
      <c r="AY43" s="99"/>
      <c r="AZ43" s="99"/>
      <c r="BA43" s="99"/>
      <c r="BB43" s="99"/>
      <c r="BC43" s="235"/>
      <c r="BD43" s="23"/>
      <c r="BF43" s="22"/>
      <c r="BG43" s="319"/>
      <c r="BH43" s="320"/>
      <c r="BI43" s="320"/>
      <c r="BJ43" s="320"/>
      <c r="BK43" s="320"/>
      <c r="BL43" s="320"/>
      <c r="BM43" s="320"/>
      <c r="BN43" s="320"/>
      <c r="BO43" s="320"/>
      <c r="BP43" s="320"/>
      <c r="BQ43" s="320"/>
      <c r="BR43" s="320"/>
      <c r="BS43" s="320"/>
      <c r="BT43" s="320"/>
      <c r="BU43" s="320"/>
      <c r="BV43" s="320"/>
      <c r="BW43" s="320"/>
      <c r="BX43" s="320"/>
      <c r="BY43" s="320"/>
      <c r="BZ43" s="320"/>
      <c r="CA43" s="321"/>
      <c r="CB43" s="23"/>
    </row>
    <row r="44" spans="2:80" x14ac:dyDescent="0.25">
      <c r="B44" s="22"/>
      <c r="C44" s="115"/>
      <c r="D44" s="116"/>
      <c r="E44" s="116"/>
      <c r="F44" s="34" t="str">
        <f>IFERROR(IFERROR((G44+H44)+IFERROR(IF(ISBLANK(C44),0,HLOOKUP(C44,Origen!$M$23:$AK$24,2,FALSE)),0),"")+IFERROR(IF(VLOOKUP(Poderes!$A$47,$U$4:$AC$10,1)=Poderes!$A$47,VLOOKUP(C44,CHOOSE({2,1},$AH$4:$AH$10,$AS$4:$AS$10),2,0),0),0),"")</f>
        <v/>
      </c>
      <c r="G44" s="29" t="str">
        <f>IFERROR(VLOOKUP(C44,Habilidades!$A$2:$C$29,2,FALSE),"")</f>
        <v/>
      </c>
      <c r="H44" s="15"/>
      <c r="I44" s="121"/>
      <c r="J44" s="122"/>
      <c r="K44" s="9"/>
      <c r="L44" s="272" t="s">
        <v>625</v>
      </c>
      <c r="M44" s="273"/>
      <c r="N44" s="283"/>
      <c r="O44" s="283"/>
      <c r="P44" s="283"/>
      <c r="Q44" s="284"/>
      <c r="R44" s="23"/>
      <c r="T44" s="22"/>
      <c r="U44" s="98"/>
      <c r="V44" s="99"/>
      <c r="W44" s="99"/>
      <c r="X44" s="99"/>
      <c r="Y44" s="99"/>
      <c r="Z44" s="99"/>
      <c r="AA44" s="139" t="str">
        <f>IFERROR(VLOOKUP(U44,Armas!K3:M21,2,FALSE),"")</f>
        <v/>
      </c>
      <c r="AB44" s="139"/>
      <c r="AC44" s="139"/>
      <c r="AD44" s="139"/>
      <c r="AE44" s="139"/>
      <c r="AF44" s="139" t="str">
        <f>IFERROR(VLOOKUP(U44,Armas!K3:M21,3,FALSE),"")</f>
        <v/>
      </c>
      <c r="AG44" s="139"/>
      <c r="AH44" s="139"/>
      <c r="AI44" s="139"/>
      <c r="AJ44" s="99"/>
      <c r="AK44" s="99"/>
      <c r="AL44" s="99"/>
      <c r="AM44" s="99"/>
      <c r="AN44" s="99"/>
      <c r="AO44" s="99"/>
      <c r="AP44" s="99"/>
      <c r="AQ44" s="99"/>
      <c r="AR44" s="99"/>
      <c r="AS44" s="139" t="str">
        <f>IFERROR(VLOOKUP(AJ44,Armas!O3:P9,2,FALSE),"")</f>
        <v/>
      </c>
      <c r="AT44" s="139"/>
      <c r="AU44" s="139"/>
      <c r="AV44" s="139"/>
      <c r="AW44" s="99"/>
      <c r="AX44" s="99"/>
      <c r="AY44" s="99"/>
      <c r="AZ44" s="99"/>
      <c r="BA44" s="99"/>
      <c r="BB44" s="99"/>
      <c r="BC44" s="235"/>
      <c r="BD44" s="23"/>
      <c r="BF44" s="22"/>
      <c r="BG44" s="322"/>
      <c r="BH44" s="323"/>
      <c r="BI44" s="323"/>
      <c r="BJ44" s="323"/>
      <c r="BK44" s="323"/>
      <c r="BL44" s="323"/>
      <c r="BM44" s="323"/>
      <c r="BN44" s="323"/>
      <c r="BO44" s="323"/>
      <c r="BP44" s="323"/>
      <c r="BQ44" s="323"/>
      <c r="BR44" s="323"/>
      <c r="BS44" s="323"/>
      <c r="BT44" s="323"/>
      <c r="BU44" s="323"/>
      <c r="BV44" s="323"/>
      <c r="BW44" s="323"/>
      <c r="BX44" s="323"/>
      <c r="BY44" s="323"/>
      <c r="BZ44" s="323"/>
      <c r="CA44" s="324"/>
      <c r="CB44" s="23"/>
    </row>
    <row r="45" spans="2:80" ht="15.75" thickBot="1" x14ac:dyDescent="0.3">
      <c r="B45" s="22"/>
      <c r="C45" s="115"/>
      <c r="D45" s="116"/>
      <c r="E45" s="116"/>
      <c r="F45" s="34" t="str">
        <f>IFERROR(IFERROR((G45+H45)+IFERROR(IF(ISBLANK(C45),0,HLOOKUP(C45,Origen!$M$23:$AK$24,2,FALSE)),0),"")+IFERROR(IF(VLOOKUP(Poderes!$A$47,$U$4:$AC$10,1)=Poderes!$A$47,VLOOKUP(C45,CHOOSE({2,1},$AH$4:$AH$10,$AS$4:$AS$10),2,0),0),0),"")</f>
        <v/>
      </c>
      <c r="G45" s="29" t="str">
        <f>IFERROR(VLOOKUP(C45,Habilidades!$A$2:$C$29,2,FALSE),"")</f>
        <v/>
      </c>
      <c r="H45" s="15"/>
      <c r="I45" s="121"/>
      <c r="J45" s="122"/>
      <c r="K45" s="9"/>
      <c r="L45" s="274" t="s">
        <v>624</v>
      </c>
      <c r="M45" s="275"/>
      <c r="N45" s="285"/>
      <c r="O45" s="285"/>
      <c r="P45" s="285"/>
      <c r="Q45" s="286"/>
      <c r="R45" s="23"/>
      <c r="T45" s="22"/>
      <c r="U45" s="98"/>
      <c r="V45" s="99"/>
      <c r="W45" s="99"/>
      <c r="X45" s="99"/>
      <c r="Y45" s="99"/>
      <c r="Z45" s="99"/>
      <c r="AA45" s="139" t="str">
        <f>IFERROR(VLOOKUP(U45,Armas!K3:M21,2,FALSE),"")</f>
        <v/>
      </c>
      <c r="AB45" s="139"/>
      <c r="AC45" s="139"/>
      <c r="AD45" s="139"/>
      <c r="AE45" s="139"/>
      <c r="AF45" s="139" t="str">
        <f>IFERROR(VLOOKUP(U45,Armas!K3:M21,3,FALSE),"")</f>
        <v/>
      </c>
      <c r="AG45" s="139"/>
      <c r="AH45" s="139"/>
      <c r="AI45" s="139"/>
      <c r="AJ45" s="99"/>
      <c r="AK45" s="99"/>
      <c r="AL45" s="99"/>
      <c r="AM45" s="99"/>
      <c r="AN45" s="99"/>
      <c r="AO45" s="99"/>
      <c r="AP45" s="99"/>
      <c r="AQ45" s="99"/>
      <c r="AR45" s="99"/>
      <c r="AS45" s="139" t="str">
        <f>IFERROR(VLOOKUP(AJ45,Armas!O3:P9,2,FALSE),"")</f>
        <v/>
      </c>
      <c r="AT45" s="139"/>
      <c r="AU45" s="139"/>
      <c r="AV45" s="139"/>
      <c r="AW45" s="99"/>
      <c r="AX45" s="99"/>
      <c r="AY45" s="99"/>
      <c r="AZ45" s="99"/>
      <c r="BA45" s="99"/>
      <c r="BB45" s="99"/>
      <c r="BC45" s="235"/>
      <c r="BD45" s="23"/>
      <c r="BF45" s="24"/>
      <c r="BG45" s="25"/>
      <c r="BH45" s="25"/>
      <c r="BI45" s="25"/>
      <c r="BJ45" s="25"/>
      <c r="BK45" s="25"/>
      <c r="BL45" s="25"/>
      <c r="BM45" s="25"/>
      <c r="BN45" s="25"/>
      <c r="BO45" s="25"/>
      <c r="BP45" s="25"/>
      <c r="BQ45" s="25"/>
      <c r="BR45" s="25"/>
      <c r="BS45" s="25"/>
      <c r="BT45" s="25"/>
      <c r="BU45" s="25"/>
      <c r="BV45" s="25"/>
      <c r="BW45" s="25"/>
      <c r="BX45" s="25"/>
      <c r="BY45" s="25"/>
      <c r="BZ45" s="25"/>
      <c r="CA45" s="25"/>
      <c r="CB45" s="26"/>
    </row>
    <row r="46" spans="2:80" ht="15.75" thickTop="1" x14ac:dyDescent="0.25">
      <c r="B46" s="22"/>
      <c r="C46" s="115"/>
      <c r="D46" s="116"/>
      <c r="E46" s="116"/>
      <c r="F46" s="34" t="str">
        <f>IFERROR(IFERROR((G46+H46)+IFERROR(IF(ISBLANK(C46),0,HLOOKUP(C46,Origen!$M$23:$AK$24,2,FALSE)),0),"")+IFERROR(IF(VLOOKUP(Poderes!$A$47,$U$4:$AC$10,1)=Poderes!$A$47,VLOOKUP(C46,CHOOSE({2,1},$AH$4:$AH$10,$AS$4:$AS$10),2,0),0),0),"")</f>
        <v/>
      </c>
      <c r="G46" s="29" t="str">
        <f>IFERROR(VLOOKUP(C46,Habilidades!$A$2:$C$29,2,FALSE),"")</f>
        <v/>
      </c>
      <c r="H46" s="15"/>
      <c r="I46" s="121"/>
      <c r="J46" s="122"/>
      <c r="K46" s="9"/>
      <c r="L46" s="274" t="s">
        <v>626</v>
      </c>
      <c r="M46" s="275"/>
      <c r="N46" s="285"/>
      <c r="O46" s="285"/>
      <c r="P46" s="285"/>
      <c r="Q46" s="286"/>
      <c r="R46" s="23"/>
      <c r="T46" s="22"/>
      <c r="U46" s="280"/>
      <c r="V46" s="239"/>
      <c r="W46" s="239"/>
      <c r="X46" s="239"/>
      <c r="Y46" s="239"/>
      <c r="Z46" s="239"/>
      <c r="AA46" s="156" t="str">
        <f>IFERROR(VLOOKUP(U46,Armas!K3:M21,2,FALSE),"")</f>
        <v/>
      </c>
      <c r="AB46" s="156"/>
      <c r="AC46" s="156"/>
      <c r="AD46" s="156"/>
      <c r="AE46" s="156"/>
      <c r="AF46" s="156" t="str">
        <f>IFERROR(VLOOKUP(U46,Armas!K3:M21,3,FALSE),"")</f>
        <v/>
      </c>
      <c r="AG46" s="156"/>
      <c r="AH46" s="156"/>
      <c r="AI46" s="156"/>
      <c r="AJ46" s="239"/>
      <c r="AK46" s="239"/>
      <c r="AL46" s="239"/>
      <c r="AM46" s="239"/>
      <c r="AN46" s="239"/>
      <c r="AO46" s="239"/>
      <c r="AP46" s="239"/>
      <c r="AQ46" s="239"/>
      <c r="AR46" s="239"/>
      <c r="AS46" s="156" t="str">
        <f>IFERROR(VLOOKUP(AJ46,Armas!O3:P9,2,FALSE),"")</f>
        <v/>
      </c>
      <c r="AT46" s="156"/>
      <c r="AU46" s="156"/>
      <c r="AV46" s="156"/>
      <c r="AW46" s="239"/>
      <c r="AX46" s="239"/>
      <c r="AY46" s="239"/>
      <c r="AZ46" s="239"/>
      <c r="BA46" s="239"/>
      <c r="BB46" s="239"/>
      <c r="BC46" s="240"/>
      <c r="BD46" s="23"/>
      <c r="BF46" s="9"/>
      <c r="BG46" s="9"/>
      <c r="BH46" s="9"/>
      <c r="BI46" s="9"/>
      <c r="BJ46" s="9"/>
      <c r="BK46" s="9"/>
      <c r="BL46" s="9"/>
      <c r="BM46" s="9"/>
      <c r="BN46" s="9"/>
      <c r="BO46" s="9"/>
      <c r="BP46" s="9"/>
      <c r="BQ46" s="9"/>
      <c r="BR46" s="9"/>
      <c r="BS46" s="9"/>
      <c r="BT46" s="9"/>
      <c r="BU46" s="9"/>
      <c r="BV46" s="9"/>
      <c r="BW46" s="9"/>
      <c r="BX46" s="9"/>
      <c r="BY46" s="9"/>
      <c r="BZ46" s="9"/>
      <c r="CA46" s="9"/>
      <c r="CB46" s="9"/>
    </row>
    <row r="47" spans="2:80" x14ac:dyDescent="0.25">
      <c r="B47" s="22"/>
      <c r="C47" s="115"/>
      <c r="D47" s="116"/>
      <c r="E47" s="116"/>
      <c r="F47" s="34" t="str">
        <f>IFERROR(IFERROR((G47+H47)+IFERROR(IF(ISBLANK(C47),0,HLOOKUP(C47,Origen!$M$23:$AK$24,2,FALSE)),0),"")+IFERROR(IF(VLOOKUP(Poderes!$A$47,$U$4:$AC$10,1)=Poderes!$A$47,VLOOKUP(C47,CHOOSE({2,1},$AH$4:$AH$10,$AS$4:$AS$10),2,0),0),0),"")</f>
        <v/>
      </c>
      <c r="G47" s="29" t="str">
        <f>IFERROR(VLOOKUP(C47,Habilidades!$A$2:$C$29,2,FALSE),"")</f>
        <v/>
      </c>
      <c r="H47" s="15"/>
      <c r="I47" s="121"/>
      <c r="J47" s="122"/>
      <c r="K47" s="9"/>
      <c r="L47" s="274" t="s">
        <v>627</v>
      </c>
      <c r="M47" s="275"/>
      <c r="N47" s="285"/>
      <c r="O47" s="285"/>
      <c r="P47" s="285"/>
      <c r="Q47" s="286"/>
      <c r="R47" s="23"/>
      <c r="T47" s="22"/>
      <c r="U47" s="9"/>
      <c r="V47" s="9"/>
      <c r="W47" s="9"/>
      <c r="X47" s="9"/>
      <c r="Y47" s="9"/>
      <c r="Z47" s="9"/>
      <c r="AA47" s="9"/>
      <c r="AB47" s="9"/>
      <c r="AC47" s="9"/>
      <c r="AD47" s="9"/>
      <c r="AE47" s="9"/>
      <c r="AF47" s="9"/>
      <c r="AG47" s="9"/>
      <c r="AH47" s="9"/>
      <c r="AI47" s="9"/>
      <c r="AJ47" s="9"/>
      <c r="AK47" s="9"/>
      <c r="AL47" s="9"/>
      <c r="AM47" s="9"/>
      <c r="AN47" s="9"/>
      <c r="AO47" s="9"/>
      <c r="AP47" s="9"/>
      <c r="AQ47" s="9"/>
      <c r="AR47" s="9"/>
      <c r="AS47" s="9"/>
      <c r="AT47" s="9"/>
      <c r="AU47" s="9"/>
      <c r="AV47" s="9"/>
      <c r="AW47" s="9"/>
      <c r="AX47" s="9"/>
      <c r="AY47" s="9"/>
      <c r="AZ47" s="9"/>
      <c r="BA47" s="9"/>
      <c r="BB47" s="9"/>
      <c r="BC47" s="9"/>
      <c r="BD47" s="23"/>
      <c r="BF47" s="9"/>
      <c r="BG47" s="9"/>
      <c r="BH47" s="9"/>
      <c r="BI47" s="9"/>
      <c r="BJ47" s="9"/>
      <c r="BK47" s="9"/>
      <c r="BL47" s="9"/>
      <c r="BM47" s="9"/>
      <c r="BN47" s="9"/>
      <c r="BO47" s="9"/>
      <c r="BP47" s="9"/>
      <c r="BQ47" s="9"/>
      <c r="BR47" s="9"/>
      <c r="BS47" s="9"/>
      <c r="BT47" s="9"/>
      <c r="BU47" s="9"/>
      <c r="BV47" s="9"/>
      <c r="BW47" s="9"/>
      <c r="BX47" s="9"/>
      <c r="BY47" s="9"/>
      <c r="BZ47" s="9"/>
      <c r="CA47" s="9"/>
      <c r="CB47" s="9"/>
    </row>
    <row r="48" spans="2:80" x14ac:dyDescent="0.25">
      <c r="B48" s="22"/>
      <c r="C48" s="115"/>
      <c r="D48" s="116"/>
      <c r="E48" s="116"/>
      <c r="F48" s="34" t="str">
        <f>IFERROR(IFERROR((G48+H48)+IFERROR(IF(ISBLANK(C48),0,HLOOKUP(C48,Origen!$M$23:$AK$24,2,FALSE)),0),"")+IFERROR(IF(VLOOKUP(Poderes!$A$47,$U$4:$AC$10,1)=Poderes!$A$47,VLOOKUP(C48,CHOOSE({2,1},$AH$4:$AH$10,$AS$4:$AS$10),2,0),0),0),"")</f>
        <v/>
      </c>
      <c r="G48" s="29" t="str">
        <f>IFERROR(VLOOKUP(C48,Habilidades!$A$2:$C$29,2,FALSE),"")</f>
        <v/>
      </c>
      <c r="H48" s="15"/>
      <c r="I48" s="121"/>
      <c r="J48" s="122"/>
      <c r="K48" s="9"/>
      <c r="L48" s="274" t="s">
        <v>628</v>
      </c>
      <c r="M48" s="275"/>
      <c r="N48" s="285"/>
      <c r="O48" s="285"/>
      <c r="P48" s="285"/>
      <c r="Q48" s="286"/>
      <c r="R48" s="23"/>
      <c r="T48" s="22"/>
      <c r="U48" s="241" t="s">
        <v>509</v>
      </c>
      <c r="V48" s="242"/>
      <c r="W48" s="242"/>
      <c r="X48" s="242"/>
      <c r="Y48" s="242"/>
      <c r="Z48" s="242"/>
      <c r="AA48" s="243"/>
      <c r="AB48" s="9"/>
      <c r="AC48" s="9"/>
      <c r="AD48" s="9"/>
      <c r="AE48" s="9"/>
      <c r="AF48" s="9"/>
      <c r="AG48" s="9"/>
      <c r="AH48" s="9"/>
      <c r="AI48" s="9"/>
      <c r="AJ48" s="9"/>
      <c r="AK48" s="9"/>
      <c r="AL48" s="9"/>
      <c r="AM48" s="9"/>
      <c r="AN48" s="9"/>
      <c r="AO48" s="9"/>
      <c r="AP48" s="9"/>
      <c r="AQ48" s="9"/>
      <c r="AR48" s="9"/>
      <c r="AS48" s="9"/>
      <c r="AT48" s="9"/>
      <c r="AU48" s="9"/>
      <c r="AV48" s="9"/>
      <c r="AW48" s="9"/>
      <c r="AX48" s="9"/>
      <c r="AY48" s="9"/>
      <c r="AZ48" s="9"/>
      <c r="BA48" s="9"/>
      <c r="BB48" s="9"/>
      <c r="BC48" s="9"/>
      <c r="BD48" s="23"/>
      <c r="BF48" s="9"/>
      <c r="BG48" s="9" t="s">
        <v>762</v>
      </c>
      <c r="BH48" s="9"/>
      <c r="BI48" s="9"/>
      <c r="BJ48" s="9"/>
      <c r="BK48" s="9"/>
      <c r="BL48" s="9"/>
      <c r="BM48" s="9"/>
      <c r="BN48" s="9"/>
      <c r="BO48" s="9"/>
      <c r="BP48" s="9"/>
      <c r="BQ48" s="9"/>
      <c r="BR48" s="9"/>
      <c r="BS48" s="9"/>
      <c r="BT48" s="9"/>
      <c r="BU48" s="9"/>
      <c r="BV48" s="9"/>
      <c r="BW48" s="9"/>
      <c r="BX48" s="9"/>
      <c r="BY48" s="9"/>
      <c r="BZ48" s="9"/>
      <c r="CA48" s="9"/>
      <c r="CB48" s="9"/>
    </row>
    <row r="49" spans="2:80" x14ac:dyDescent="0.25">
      <c r="B49" s="22"/>
      <c r="C49" s="115"/>
      <c r="D49" s="116"/>
      <c r="E49" s="116"/>
      <c r="F49" s="34" t="str">
        <f>IFERROR(IFERROR((G49+H49)+IFERROR(IF(ISBLANK(C49),0,HLOOKUP(C49,Origen!$M$23:$AK$24,2,FALSE)),0),"")+IFERROR(IF(VLOOKUP(Poderes!$A$47,$U$4:$AC$10,1)=Poderes!$A$47,VLOOKUP(C49,CHOOSE({2,1},$AH$4:$AH$10,$AS$4:$AS$10),2,0),0),0),"")</f>
        <v/>
      </c>
      <c r="G49" s="29" t="str">
        <f>IFERROR(VLOOKUP(C49,Habilidades!$A$2:$C$29,2,FALSE),"")</f>
        <v/>
      </c>
      <c r="H49" s="15"/>
      <c r="I49" s="121"/>
      <c r="J49" s="122"/>
      <c r="K49" s="9"/>
      <c r="L49" s="274" t="s">
        <v>629</v>
      </c>
      <c r="M49" s="275"/>
      <c r="N49" s="285"/>
      <c r="O49" s="285"/>
      <c r="P49" s="285"/>
      <c r="Q49" s="286"/>
      <c r="R49" s="23"/>
      <c r="T49" s="22"/>
      <c r="U49" s="244" t="s">
        <v>510</v>
      </c>
      <c r="V49" s="245"/>
      <c r="W49" s="245"/>
      <c r="X49" s="245"/>
      <c r="Y49" s="245"/>
      <c r="Z49" s="245"/>
      <c r="AA49" s="245"/>
      <c r="AB49" s="245"/>
      <c r="AC49" s="245"/>
      <c r="AD49" s="245"/>
      <c r="AE49" s="245"/>
      <c r="AF49" s="245"/>
      <c r="AG49" s="245"/>
      <c r="AH49" s="245"/>
      <c r="AI49" s="245"/>
      <c r="AJ49" s="245"/>
      <c r="AK49" s="245"/>
      <c r="AL49" s="245"/>
      <c r="AM49" s="245"/>
      <c r="AN49" s="245"/>
      <c r="AO49" s="245"/>
      <c r="AP49" s="245"/>
      <c r="AQ49" s="245"/>
      <c r="AR49" s="245"/>
      <c r="AS49" s="245"/>
      <c r="AT49" s="245"/>
      <c r="AU49" s="245"/>
      <c r="AV49" s="245"/>
      <c r="AW49" s="245"/>
      <c r="AX49" s="245"/>
      <c r="AY49" s="245"/>
      <c r="AZ49" s="245"/>
      <c r="BA49" s="245"/>
      <c r="BB49" s="245"/>
      <c r="BC49" s="246"/>
      <c r="BD49" s="23"/>
      <c r="BF49" s="9"/>
      <c r="BG49" s="9"/>
      <c r="BH49" s="9"/>
      <c r="BI49" s="9"/>
      <c r="BJ49" s="9"/>
      <c r="BK49" s="9"/>
      <c r="BL49" s="9"/>
      <c r="BM49" s="9"/>
      <c r="BN49" s="9"/>
      <c r="BO49" s="9"/>
      <c r="BP49" s="9"/>
      <c r="BQ49" s="9"/>
      <c r="BR49" s="9"/>
      <c r="BS49" s="9"/>
      <c r="BT49" s="9"/>
      <c r="BU49" s="9"/>
      <c r="BV49" s="9"/>
      <c r="BW49" s="9"/>
      <c r="BX49" s="9"/>
      <c r="BY49" s="9"/>
      <c r="BZ49" s="9"/>
      <c r="CA49" s="9"/>
      <c r="CB49" s="9"/>
    </row>
    <row r="50" spans="2:80" x14ac:dyDescent="0.25">
      <c r="B50" s="22"/>
      <c r="C50" s="115"/>
      <c r="D50" s="116"/>
      <c r="E50" s="116"/>
      <c r="F50" s="34" t="str">
        <f>IFERROR(IFERROR((G50+H50)+IFERROR(IF(ISBLANK(C50),0,HLOOKUP(C50,Origen!$M$23:$AK$24,2,FALSE)),0),"")+IFERROR(IF(VLOOKUP(Poderes!$A$47,$U$4:$AC$10,1)=Poderes!$A$47,VLOOKUP(C50,CHOOSE({2,1},$AH$4:$AH$10,$AS$4:$AS$10),2,0),0),0),"")</f>
        <v/>
      </c>
      <c r="G50" s="29" t="str">
        <f>IFERROR(VLOOKUP(C50,Habilidades!$A$2:$C$29,2,FALSE),"")</f>
        <v/>
      </c>
      <c r="H50" s="15"/>
      <c r="I50" s="121"/>
      <c r="J50" s="122"/>
      <c r="K50" s="9"/>
      <c r="L50" s="281" t="s">
        <v>630</v>
      </c>
      <c r="M50" s="282"/>
      <c r="N50" s="287"/>
      <c r="O50" s="287"/>
      <c r="P50" s="287"/>
      <c r="Q50" s="288"/>
      <c r="R50" s="23"/>
      <c r="T50" s="22"/>
      <c r="U50" s="247"/>
      <c r="V50" s="248"/>
      <c r="W50" s="248"/>
      <c r="X50" s="248"/>
      <c r="Y50" s="248"/>
      <c r="Z50" s="248"/>
      <c r="AA50" s="248"/>
      <c r="AB50" s="248"/>
      <c r="AC50" s="248"/>
      <c r="AD50" s="248"/>
      <c r="AE50" s="248"/>
      <c r="AF50" s="248"/>
      <c r="AG50" s="248"/>
      <c r="AH50" s="248"/>
      <c r="AI50" s="248"/>
      <c r="AJ50" s="248"/>
      <c r="AK50" s="248"/>
      <c r="AL50" s="248"/>
      <c r="AM50" s="248"/>
      <c r="AN50" s="248"/>
      <c r="AO50" s="248"/>
      <c r="AP50" s="248"/>
      <c r="AQ50" s="248"/>
      <c r="AR50" s="248"/>
      <c r="AS50" s="248"/>
      <c r="AT50" s="248"/>
      <c r="AU50" s="248"/>
      <c r="AV50" s="248"/>
      <c r="AW50" s="248"/>
      <c r="AX50" s="248"/>
      <c r="AY50" s="248"/>
      <c r="AZ50" s="248"/>
      <c r="BA50" s="248"/>
      <c r="BB50" s="248"/>
      <c r="BC50" s="249"/>
      <c r="BD50" s="23"/>
      <c r="BF50" s="9"/>
      <c r="BG50" s="9"/>
      <c r="BH50" s="9"/>
      <c r="BI50" s="9"/>
      <c r="BJ50" s="9"/>
      <c r="BK50" s="9"/>
      <c r="BL50" s="9"/>
      <c r="BM50" s="9"/>
      <c r="BN50" s="9"/>
      <c r="BO50" s="9"/>
      <c r="BP50" s="9"/>
      <c r="BQ50" s="9"/>
      <c r="BR50" s="9"/>
      <c r="BS50" s="9"/>
      <c r="BT50" s="9"/>
      <c r="BU50" s="9"/>
      <c r="BV50" s="9"/>
      <c r="BW50" s="9"/>
      <c r="BX50" s="9"/>
      <c r="BY50" s="9"/>
      <c r="BZ50" s="9"/>
      <c r="CA50" s="9"/>
      <c r="CB50" s="9"/>
    </row>
    <row r="51" spans="2:80" x14ac:dyDescent="0.25">
      <c r="B51" s="22"/>
      <c r="C51" s="115"/>
      <c r="D51" s="116"/>
      <c r="E51" s="116"/>
      <c r="F51" s="34" t="str">
        <f>IFERROR(IFERROR((G51+H51)+IFERROR(IF(ISBLANK(C51),0,HLOOKUP(C51,Origen!$M$23:$AK$24,2,FALSE)),0),"")+IFERROR(IF(VLOOKUP(Poderes!$A$47,$U$4:$AC$10,1)=Poderes!$A$47,VLOOKUP(C51,CHOOSE({2,1},$AH$4:$AH$10,$AS$4:$AS$10),2,0),0),0),"")</f>
        <v/>
      </c>
      <c r="G51" s="29" t="str">
        <f>IFERROR(VLOOKUP(C51,Habilidades!$A$2:$C$29,2,FALSE),"")</f>
        <v/>
      </c>
      <c r="H51" s="15"/>
      <c r="I51" s="121"/>
      <c r="J51" s="122"/>
      <c r="K51" s="9"/>
      <c r="L51" s="269" t="s">
        <v>631</v>
      </c>
      <c r="M51" s="270"/>
      <c r="N51" s="270"/>
      <c r="O51" s="270"/>
      <c r="P51" s="270"/>
      <c r="Q51" s="271"/>
      <c r="R51" s="23"/>
      <c r="T51" s="22"/>
      <c r="U51" s="247"/>
      <c r="V51" s="248"/>
      <c r="W51" s="248"/>
      <c r="X51" s="248"/>
      <c r="Y51" s="248"/>
      <c r="Z51" s="248"/>
      <c r="AA51" s="248"/>
      <c r="AB51" s="248"/>
      <c r="AC51" s="248"/>
      <c r="AD51" s="248"/>
      <c r="AE51" s="248"/>
      <c r="AF51" s="248"/>
      <c r="AG51" s="248"/>
      <c r="AH51" s="248"/>
      <c r="AI51" s="248"/>
      <c r="AJ51" s="248"/>
      <c r="AK51" s="248"/>
      <c r="AL51" s="248"/>
      <c r="AM51" s="248"/>
      <c r="AN51" s="248"/>
      <c r="AO51" s="248"/>
      <c r="AP51" s="248"/>
      <c r="AQ51" s="248"/>
      <c r="AR51" s="248"/>
      <c r="AS51" s="248"/>
      <c r="AT51" s="248"/>
      <c r="AU51" s="248"/>
      <c r="AV51" s="248"/>
      <c r="AW51" s="248"/>
      <c r="AX51" s="248"/>
      <c r="AY51" s="248"/>
      <c r="AZ51" s="248"/>
      <c r="BA51" s="248"/>
      <c r="BB51" s="248"/>
      <c r="BC51" s="249"/>
      <c r="BD51" s="23"/>
      <c r="BF51" s="9"/>
      <c r="BG51" s="9"/>
      <c r="BH51" s="9"/>
      <c r="BI51" s="9"/>
      <c r="BJ51" s="9"/>
      <c r="BK51" s="9"/>
      <c r="BL51" s="9"/>
      <c r="BM51" s="9"/>
      <c r="BN51" s="9"/>
      <c r="BO51" s="9"/>
      <c r="BP51" s="9"/>
      <c r="BQ51" s="9"/>
      <c r="BR51" s="9"/>
      <c r="BS51" s="9"/>
      <c r="BT51" s="9"/>
      <c r="BU51" s="9"/>
      <c r="BV51" s="9"/>
      <c r="BW51" s="9"/>
      <c r="BX51" s="9"/>
      <c r="BY51" s="9"/>
      <c r="BZ51" s="9"/>
      <c r="CA51" s="9"/>
      <c r="CB51" s="9"/>
    </row>
    <row r="52" spans="2:80" x14ac:dyDescent="0.25">
      <c r="B52" s="22"/>
      <c r="C52" s="123" t="str">
        <f>_xlfn.IFS(G4=Origen!H3,Habilidades!A14,TRUE,"")</f>
        <v/>
      </c>
      <c r="D52" s="124"/>
      <c r="E52" s="124"/>
      <c r="F52" s="34" t="str">
        <f>IFERROR(IFERROR((G52+H52)+IFERROR(IF(ISBLANK(C52),0,HLOOKUP(C52,Origen!$M$23:$AK$24,2,FALSE)),0),"")+IFERROR(IF(VLOOKUP(Poderes!$A$47,$U$4:$AC$10,1)=Poderes!$A$47,VLOOKUP(C52,CHOOSE({2,1},$AH$4:$AH$10,$AS$4:$AS$10),2,0),0),0),"")</f>
        <v/>
      </c>
      <c r="G52" s="29" t="str">
        <f>IFERROR(VLOOKUP(C52,Habilidades!$A$2:$C$29,2,FALSE),"")</f>
        <v/>
      </c>
      <c r="H52" s="15"/>
      <c r="I52" s="121"/>
      <c r="J52" s="122"/>
      <c r="K52" s="9"/>
      <c r="L52" s="276" t="s">
        <v>632</v>
      </c>
      <c r="M52" s="277"/>
      <c r="N52" s="278"/>
      <c r="O52" s="278"/>
      <c r="P52" s="278"/>
      <c r="Q52" s="279"/>
      <c r="R52" s="23"/>
      <c r="T52" s="22"/>
      <c r="U52" s="247"/>
      <c r="V52" s="248"/>
      <c r="W52" s="248"/>
      <c r="X52" s="248"/>
      <c r="Y52" s="248"/>
      <c r="Z52" s="248"/>
      <c r="AA52" s="248"/>
      <c r="AB52" s="248"/>
      <c r="AC52" s="248"/>
      <c r="AD52" s="248"/>
      <c r="AE52" s="248"/>
      <c r="AF52" s="248"/>
      <c r="AG52" s="248"/>
      <c r="AH52" s="248"/>
      <c r="AI52" s="248"/>
      <c r="AJ52" s="248"/>
      <c r="AK52" s="248"/>
      <c r="AL52" s="248"/>
      <c r="AM52" s="248"/>
      <c r="AN52" s="248"/>
      <c r="AO52" s="248"/>
      <c r="AP52" s="248"/>
      <c r="AQ52" s="248"/>
      <c r="AR52" s="248"/>
      <c r="AS52" s="248"/>
      <c r="AT52" s="248"/>
      <c r="AU52" s="248"/>
      <c r="AV52" s="248"/>
      <c r="AW52" s="248"/>
      <c r="AX52" s="248"/>
      <c r="AY52" s="248"/>
      <c r="AZ52" s="248"/>
      <c r="BA52" s="248"/>
      <c r="BB52" s="248"/>
      <c r="BC52" s="249"/>
      <c r="BD52" s="23"/>
      <c r="BF52" s="9"/>
      <c r="BG52" s="9"/>
      <c r="BH52" s="9"/>
      <c r="BI52" s="9"/>
      <c r="BJ52" s="9"/>
      <c r="BK52" s="9"/>
      <c r="BL52" s="9"/>
      <c r="BM52" s="9"/>
      <c r="BN52" s="9"/>
      <c r="BO52" s="9"/>
      <c r="BP52" s="9"/>
      <c r="BQ52" s="9"/>
      <c r="BR52" s="9"/>
      <c r="BS52" s="9"/>
      <c r="BT52" s="9"/>
      <c r="BU52" s="9"/>
      <c r="BV52" s="9"/>
      <c r="BW52" s="9"/>
      <c r="BX52" s="9"/>
      <c r="BY52" s="9"/>
      <c r="BZ52" s="9"/>
      <c r="CA52" s="9"/>
      <c r="CB52" s="9"/>
    </row>
    <row r="53" spans="2:80" x14ac:dyDescent="0.25">
      <c r="B53" s="22"/>
      <c r="C53" s="131" t="str">
        <f>_xlfn.IFS(G4=Origen!H3,Habilidades!A24,TRUE,"")</f>
        <v/>
      </c>
      <c r="D53" s="132"/>
      <c r="E53" s="132"/>
      <c r="F53" s="34" t="str">
        <f>IFERROR(IFERROR((G53+H53)+IFERROR(IF(ISBLANK(C53),0,HLOOKUP(C53,Origen!$M$23:$AK$24,2,FALSE)),0),"")+IFERROR(IF(VLOOKUP(Poderes!$A$47,$U$4:$AC$10,1)=Poderes!$A$47,VLOOKUP(C53,CHOOSE({2,1},$AH$4:$AH$10,$AS$4:$AS$10),2,0),0),0),"")</f>
        <v/>
      </c>
      <c r="G53" s="30" t="str">
        <f>IFERROR(VLOOKUP(C53,Habilidades!$A$2:$C$29,2,FALSE),"")</f>
        <v/>
      </c>
      <c r="H53" s="15"/>
      <c r="I53" s="127"/>
      <c r="J53" s="128"/>
      <c r="K53" s="9"/>
      <c r="L53" s="253" t="s">
        <v>633</v>
      </c>
      <c r="M53" s="254"/>
      <c r="N53" s="255"/>
      <c r="O53" s="255"/>
      <c r="P53" s="255"/>
      <c r="Q53" s="256"/>
      <c r="R53" s="23"/>
      <c r="T53" s="22"/>
      <c r="U53" s="250"/>
      <c r="V53" s="251"/>
      <c r="W53" s="251"/>
      <c r="X53" s="251"/>
      <c r="Y53" s="251"/>
      <c r="Z53" s="251"/>
      <c r="AA53" s="251"/>
      <c r="AB53" s="251"/>
      <c r="AC53" s="251"/>
      <c r="AD53" s="251"/>
      <c r="AE53" s="251"/>
      <c r="AF53" s="251"/>
      <c r="AG53" s="251"/>
      <c r="AH53" s="251"/>
      <c r="AI53" s="251"/>
      <c r="AJ53" s="251"/>
      <c r="AK53" s="251"/>
      <c r="AL53" s="251"/>
      <c r="AM53" s="251"/>
      <c r="AN53" s="251"/>
      <c r="AO53" s="251"/>
      <c r="AP53" s="251"/>
      <c r="AQ53" s="251"/>
      <c r="AR53" s="251"/>
      <c r="AS53" s="251"/>
      <c r="AT53" s="251"/>
      <c r="AU53" s="251"/>
      <c r="AV53" s="251"/>
      <c r="AW53" s="251"/>
      <c r="AX53" s="251"/>
      <c r="AY53" s="251"/>
      <c r="AZ53" s="251"/>
      <c r="BA53" s="251"/>
      <c r="BB53" s="251"/>
      <c r="BC53" s="252"/>
      <c r="BD53" s="23"/>
      <c r="BF53" s="9"/>
      <c r="BG53" s="9"/>
      <c r="BH53" s="9"/>
      <c r="BI53" s="9"/>
      <c r="BJ53" s="9"/>
      <c r="BK53" s="9"/>
      <c r="BL53" s="9"/>
      <c r="BM53" s="9"/>
      <c r="BN53" s="9"/>
      <c r="BO53" s="9"/>
      <c r="BP53" s="9"/>
      <c r="BQ53" s="9"/>
      <c r="BR53" s="9"/>
      <c r="BS53" s="9"/>
      <c r="BT53" s="9"/>
      <c r="BU53" s="9"/>
      <c r="BV53" s="9"/>
      <c r="BW53" s="9"/>
      <c r="BX53" s="9"/>
      <c r="BY53" s="9"/>
      <c r="BZ53" s="9"/>
      <c r="CA53" s="9"/>
      <c r="CB53" s="9"/>
    </row>
    <row r="54" spans="2:80" ht="8.25" customHeight="1" thickBot="1" x14ac:dyDescent="0.3">
      <c r="B54" s="24"/>
      <c r="C54" s="25"/>
      <c r="D54" s="25"/>
      <c r="E54" s="25"/>
      <c r="F54" s="25"/>
      <c r="G54" s="25"/>
      <c r="H54" s="25"/>
      <c r="I54" s="25"/>
      <c r="J54" s="25"/>
      <c r="K54" s="25"/>
      <c r="L54" s="25"/>
      <c r="M54" s="25"/>
      <c r="N54" s="25"/>
      <c r="O54" s="25"/>
      <c r="P54" s="25"/>
      <c r="Q54" s="25"/>
      <c r="R54" s="26"/>
      <c r="T54" s="24"/>
      <c r="U54" s="25"/>
      <c r="V54" s="25"/>
      <c r="W54" s="25"/>
      <c r="X54" s="25"/>
      <c r="Y54" s="25"/>
      <c r="Z54" s="25"/>
      <c r="AA54" s="25"/>
      <c r="AB54" s="25"/>
      <c r="AC54" s="25"/>
      <c r="AD54" s="25"/>
      <c r="AE54" s="25"/>
      <c r="AF54" s="25"/>
      <c r="AG54" s="25"/>
      <c r="AH54" s="25"/>
      <c r="AI54" s="25"/>
      <c r="AJ54" s="25"/>
      <c r="AK54" s="25"/>
      <c r="AL54" s="25"/>
      <c r="AM54" s="25"/>
      <c r="AN54" s="25"/>
      <c r="AO54" s="25"/>
      <c r="AP54" s="25"/>
      <c r="AQ54" s="25"/>
      <c r="AR54" s="25"/>
      <c r="AS54" s="25"/>
      <c r="AT54" s="25"/>
      <c r="AU54" s="25"/>
      <c r="AV54" s="25"/>
      <c r="AW54" s="25"/>
      <c r="AX54" s="25"/>
      <c r="AY54" s="25"/>
      <c r="AZ54" s="25"/>
      <c r="BA54" s="25"/>
      <c r="BB54" s="25"/>
      <c r="BC54" s="25"/>
      <c r="BD54" s="26"/>
      <c r="BF54" s="9"/>
      <c r="BG54" s="9"/>
      <c r="BH54" s="9"/>
      <c r="BI54" s="9"/>
      <c r="BJ54" s="9"/>
      <c r="BK54" s="9"/>
      <c r="BL54" s="9"/>
      <c r="BM54" s="9"/>
      <c r="BN54" s="9"/>
      <c r="BO54" s="9"/>
      <c r="BP54" s="9"/>
      <c r="BQ54" s="9"/>
      <c r="BR54" s="9"/>
      <c r="BS54" s="9"/>
      <c r="BT54" s="9"/>
      <c r="BU54" s="9"/>
      <c r="BV54" s="9"/>
      <c r="BW54" s="9"/>
      <c r="BX54" s="9"/>
      <c r="BY54" s="9"/>
      <c r="BZ54" s="9"/>
      <c r="CA54" s="9"/>
      <c r="CB54" s="9"/>
    </row>
    <row r="55" spans="2:80" ht="15.75" thickTop="1" x14ac:dyDescent="0.25">
      <c r="B55" s="9"/>
      <c r="C55" s="9"/>
      <c r="D55" s="9"/>
      <c r="E55" s="9"/>
      <c r="F55" s="9"/>
      <c r="G55" s="9"/>
      <c r="H55" s="9"/>
      <c r="I55" s="9"/>
      <c r="J55" s="9"/>
      <c r="K55" s="9"/>
      <c r="L55" s="9"/>
      <c r="M55" s="9"/>
      <c r="N55" s="9"/>
      <c r="O55" s="9"/>
      <c r="P55" s="9"/>
      <c r="Q55" s="9"/>
    </row>
  </sheetData>
  <mergeCells count="514">
    <mergeCell ref="BG36:BK36"/>
    <mergeCell ref="BL36:BU36"/>
    <mergeCell ref="BY36:CA36"/>
    <mergeCell ref="BV36:BX36"/>
    <mergeCell ref="BG38:CA44"/>
    <mergeCell ref="BG37:CA37"/>
    <mergeCell ref="BK31:CA31"/>
    <mergeCell ref="BG32:BJ32"/>
    <mergeCell ref="BK32:BQ32"/>
    <mergeCell ref="BR32:BU32"/>
    <mergeCell ref="BV32:BW32"/>
    <mergeCell ref="BX32:BY32"/>
    <mergeCell ref="BZ32:CA32"/>
    <mergeCell ref="BK33:CA33"/>
    <mergeCell ref="BG35:CA35"/>
    <mergeCell ref="BG28:BJ28"/>
    <mergeCell ref="BK28:BQ28"/>
    <mergeCell ref="BR28:BU28"/>
    <mergeCell ref="BV28:BW28"/>
    <mergeCell ref="BX28:BY28"/>
    <mergeCell ref="BZ28:CA28"/>
    <mergeCell ref="BK29:CA29"/>
    <mergeCell ref="BG30:BJ30"/>
    <mergeCell ref="BK30:BQ30"/>
    <mergeCell ref="BR30:BU30"/>
    <mergeCell ref="BV30:BW30"/>
    <mergeCell ref="BX30:BY30"/>
    <mergeCell ref="BZ30:CA30"/>
    <mergeCell ref="BK25:CA25"/>
    <mergeCell ref="BX26:BY26"/>
    <mergeCell ref="BZ26:CA26"/>
    <mergeCell ref="BG26:BJ26"/>
    <mergeCell ref="BK26:BQ26"/>
    <mergeCell ref="BR26:BU26"/>
    <mergeCell ref="BV26:BW26"/>
    <mergeCell ref="BK27:CA27"/>
    <mergeCell ref="BX22:BY22"/>
    <mergeCell ref="BV22:BW22"/>
    <mergeCell ref="BR22:BU22"/>
    <mergeCell ref="BG22:BJ22"/>
    <mergeCell ref="BK22:BQ22"/>
    <mergeCell ref="BK23:CA23"/>
    <mergeCell ref="BG24:BJ24"/>
    <mergeCell ref="BK24:BQ24"/>
    <mergeCell ref="BR24:BU24"/>
    <mergeCell ref="BV24:BW24"/>
    <mergeCell ref="BX24:BY24"/>
    <mergeCell ref="BZ24:CA24"/>
    <mergeCell ref="BG4:BQ4"/>
    <mergeCell ref="BW9:CA9"/>
    <mergeCell ref="BR9:BV9"/>
    <mergeCell ref="BG9:BQ9"/>
    <mergeCell ref="BW8:CA8"/>
    <mergeCell ref="BR8:BV8"/>
    <mergeCell ref="BG8:BQ8"/>
    <mergeCell ref="BW7:CA7"/>
    <mergeCell ref="BR7:BV7"/>
    <mergeCell ref="BA17:BC17"/>
    <mergeCell ref="AO19:AT19"/>
    <mergeCell ref="AU19:AV19"/>
    <mergeCell ref="AW19:AZ19"/>
    <mergeCell ref="BA19:BC19"/>
    <mergeCell ref="AI28:AN29"/>
    <mergeCell ref="BA25:BC25"/>
    <mergeCell ref="AO28:AU28"/>
    <mergeCell ref="AO29:AU29"/>
    <mergeCell ref="AX28:AZ28"/>
    <mergeCell ref="AV28:AW28"/>
    <mergeCell ref="BA28:BC28"/>
    <mergeCell ref="AV29:AW29"/>
    <mergeCell ref="AX29:AZ29"/>
    <mergeCell ref="BA29:BC29"/>
    <mergeCell ref="AO14:AS14"/>
    <mergeCell ref="AT14:BC14"/>
    <mergeCell ref="AO26:AS26"/>
    <mergeCell ref="AT26:BC26"/>
    <mergeCell ref="AO20:AT20"/>
    <mergeCell ref="AO25:AT25"/>
    <mergeCell ref="AO21:AT21"/>
    <mergeCell ref="AO22:AT22"/>
    <mergeCell ref="AO23:AT23"/>
    <mergeCell ref="AO24:AT24"/>
    <mergeCell ref="BA21:BC21"/>
    <mergeCell ref="AU22:AV22"/>
    <mergeCell ref="AW22:AZ22"/>
    <mergeCell ref="BA22:BC22"/>
    <mergeCell ref="AU23:AV23"/>
    <mergeCell ref="AW23:AZ23"/>
    <mergeCell ref="BA23:BC23"/>
    <mergeCell ref="AU24:AV24"/>
    <mergeCell ref="AW24:AZ24"/>
    <mergeCell ref="BA24:BC24"/>
    <mergeCell ref="AO17:AQ17"/>
    <mergeCell ref="AO18:AQ18"/>
    <mergeCell ref="AU25:AV25"/>
    <mergeCell ref="AW25:AZ25"/>
    <mergeCell ref="AJ37:AK37"/>
    <mergeCell ref="AL37:AO37"/>
    <mergeCell ref="AP37:AR37"/>
    <mergeCell ref="AP33:AR33"/>
    <mergeCell ref="AS3:BC3"/>
    <mergeCell ref="AS4:BC4"/>
    <mergeCell ref="AS5:BC5"/>
    <mergeCell ref="AS11:BC11"/>
    <mergeCell ref="AS6:BC6"/>
    <mergeCell ref="AS7:BC7"/>
    <mergeCell ref="AS8:BC8"/>
    <mergeCell ref="AS9:BC9"/>
    <mergeCell ref="AS10:BC10"/>
    <mergeCell ref="AI13:AO13"/>
    <mergeCell ref="AP13:AU13"/>
    <mergeCell ref="AV13:BC13"/>
    <mergeCell ref="AO15:AS15"/>
    <mergeCell ref="AT15:BC15"/>
    <mergeCell ref="AH7:AJ7"/>
    <mergeCell ref="AH8:AJ8"/>
    <mergeCell ref="AH9:AJ9"/>
    <mergeCell ref="AH10:AJ10"/>
    <mergeCell ref="AH11:AJ11"/>
    <mergeCell ref="AI14:AN16"/>
    <mergeCell ref="L51:Q51"/>
    <mergeCell ref="L52:M52"/>
    <mergeCell ref="N52:Q52"/>
    <mergeCell ref="U46:Z46"/>
    <mergeCell ref="AA46:AE46"/>
    <mergeCell ref="AF46:AI46"/>
    <mergeCell ref="AJ46:AR46"/>
    <mergeCell ref="U42:Z42"/>
    <mergeCell ref="AA42:AE42"/>
    <mergeCell ref="AF42:AI42"/>
    <mergeCell ref="AJ42:AR42"/>
    <mergeCell ref="L47:M47"/>
    <mergeCell ref="L48:M48"/>
    <mergeCell ref="L49:M49"/>
    <mergeCell ref="L50:M50"/>
    <mergeCell ref="N44:Q44"/>
    <mergeCell ref="N45:Q45"/>
    <mergeCell ref="N46:Q46"/>
    <mergeCell ref="N47:Q47"/>
    <mergeCell ref="N48:Q48"/>
    <mergeCell ref="N49:Q49"/>
    <mergeCell ref="N50:Q50"/>
    <mergeCell ref="L53:M53"/>
    <mergeCell ref="N53:Q53"/>
    <mergeCell ref="I9:J9"/>
    <mergeCell ref="L38:M38"/>
    <mergeCell ref="O38:Q38"/>
    <mergeCell ref="L39:M39"/>
    <mergeCell ref="O39:Q39"/>
    <mergeCell ref="L40:M40"/>
    <mergeCell ref="O40:Q40"/>
    <mergeCell ref="L41:M41"/>
    <mergeCell ref="O41:Q41"/>
    <mergeCell ref="H38:I38"/>
    <mergeCell ref="I29:J29"/>
    <mergeCell ref="I28:J28"/>
    <mergeCell ref="I27:J27"/>
    <mergeCell ref="I32:J32"/>
    <mergeCell ref="I31:J31"/>
    <mergeCell ref="I30:J30"/>
    <mergeCell ref="P27:Q27"/>
    <mergeCell ref="I45:J45"/>
    <mergeCell ref="L43:Q43"/>
    <mergeCell ref="L44:M44"/>
    <mergeCell ref="L45:M45"/>
    <mergeCell ref="L46:M46"/>
    <mergeCell ref="AS46:AV46"/>
    <mergeCell ref="AW46:BC46"/>
    <mergeCell ref="U48:AA48"/>
    <mergeCell ref="U49:BC53"/>
    <mergeCell ref="U44:Z44"/>
    <mergeCell ref="AA44:AE44"/>
    <mergeCell ref="AF44:AI44"/>
    <mergeCell ref="AJ44:AR44"/>
    <mergeCell ref="AS44:AV44"/>
    <mergeCell ref="AW44:BC44"/>
    <mergeCell ref="U45:Z45"/>
    <mergeCell ref="AA45:AE45"/>
    <mergeCell ref="AF45:AI45"/>
    <mergeCell ref="AJ45:AR45"/>
    <mergeCell ref="AS45:AV45"/>
    <mergeCell ref="AW45:BC45"/>
    <mergeCell ref="AS42:AV42"/>
    <mergeCell ref="AW42:BC42"/>
    <mergeCell ref="U43:Z43"/>
    <mergeCell ref="AA43:AE43"/>
    <mergeCell ref="AF43:AI43"/>
    <mergeCell ref="AJ43:AR43"/>
    <mergeCell ref="AS43:AV43"/>
    <mergeCell ref="AW43:BC43"/>
    <mergeCell ref="U38:BC38"/>
    <mergeCell ref="U40:BC40"/>
    <mergeCell ref="U41:Z41"/>
    <mergeCell ref="AA41:AE41"/>
    <mergeCell ref="AF41:AI41"/>
    <mergeCell ref="AJ41:AR41"/>
    <mergeCell ref="AS41:AV41"/>
    <mergeCell ref="AW41:BC41"/>
    <mergeCell ref="AS37:AT37"/>
    <mergeCell ref="AU37:AW37"/>
    <mergeCell ref="AX37:AZ37"/>
    <mergeCell ref="BA37:BC37"/>
    <mergeCell ref="AU36:AW36"/>
    <mergeCell ref="AX36:AZ36"/>
    <mergeCell ref="BA36:BC36"/>
    <mergeCell ref="U35:AE35"/>
    <mergeCell ref="AF35:AI35"/>
    <mergeCell ref="AJ35:AK35"/>
    <mergeCell ref="AL35:AO35"/>
    <mergeCell ref="AP35:AR35"/>
    <mergeCell ref="AS35:AT35"/>
    <mergeCell ref="AU35:AW35"/>
    <mergeCell ref="AX35:AZ35"/>
    <mergeCell ref="BA35:BC35"/>
    <mergeCell ref="U36:AE36"/>
    <mergeCell ref="AF36:AI36"/>
    <mergeCell ref="AJ36:AK36"/>
    <mergeCell ref="AL36:AO36"/>
    <mergeCell ref="AP36:AR36"/>
    <mergeCell ref="AS36:AT36"/>
    <mergeCell ref="U37:AE37"/>
    <mergeCell ref="AF37:AI37"/>
    <mergeCell ref="AS33:AT33"/>
    <mergeCell ref="AU33:AW33"/>
    <mergeCell ref="AX33:AZ33"/>
    <mergeCell ref="BA33:BC33"/>
    <mergeCell ref="U34:AE34"/>
    <mergeCell ref="AF34:AI34"/>
    <mergeCell ref="AJ34:AK34"/>
    <mergeCell ref="AL34:AO34"/>
    <mergeCell ref="AP34:AR34"/>
    <mergeCell ref="AS34:AT34"/>
    <mergeCell ref="AU34:AW34"/>
    <mergeCell ref="AX34:AZ34"/>
    <mergeCell ref="BA34:BC34"/>
    <mergeCell ref="BW18:CA18"/>
    <mergeCell ref="BG19:BQ19"/>
    <mergeCell ref="BR19:BV19"/>
    <mergeCell ref="BW19:CA19"/>
    <mergeCell ref="BG17:BQ17"/>
    <mergeCell ref="BR17:BV17"/>
    <mergeCell ref="BW17:CA17"/>
    <mergeCell ref="U28:V28"/>
    <mergeCell ref="AD28:AE28"/>
    <mergeCell ref="AF28:AG28"/>
    <mergeCell ref="AE25:AG25"/>
    <mergeCell ref="AE26:AG26"/>
    <mergeCell ref="BA18:BC18"/>
    <mergeCell ref="AX18:AZ18"/>
    <mergeCell ref="AT18:AW18"/>
    <mergeCell ref="AR18:AS18"/>
    <mergeCell ref="AI19:AN25"/>
    <mergeCell ref="AI26:AN27"/>
    <mergeCell ref="AI17:AN18"/>
    <mergeCell ref="AO27:AS27"/>
    <mergeCell ref="AT27:BC27"/>
    <mergeCell ref="AR17:AS17"/>
    <mergeCell ref="AT17:AW17"/>
    <mergeCell ref="AX17:AZ17"/>
    <mergeCell ref="W29:X29"/>
    <mergeCell ref="Y29:AA29"/>
    <mergeCell ref="AB29:AC29"/>
    <mergeCell ref="AD29:AE29"/>
    <mergeCell ref="AF29:AG29"/>
    <mergeCell ref="BG21:CA21"/>
    <mergeCell ref="BZ22:CA22"/>
    <mergeCell ref="BR3:BV3"/>
    <mergeCell ref="BG5:BQ5"/>
    <mergeCell ref="BR5:BV5"/>
    <mergeCell ref="BW3:CA3"/>
    <mergeCell ref="BW5:CA5"/>
    <mergeCell ref="BG6:BQ6"/>
    <mergeCell ref="BR6:BV6"/>
    <mergeCell ref="BW6:CA6"/>
    <mergeCell ref="BW13:CA13"/>
    <mergeCell ref="BR10:BV10"/>
    <mergeCell ref="BW10:CA10"/>
    <mergeCell ref="BG11:BQ11"/>
    <mergeCell ref="BW14:CA14"/>
    <mergeCell ref="BW15:CA15"/>
    <mergeCell ref="BW16:CA16"/>
    <mergeCell ref="U24:AD24"/>
    <mergeCell ref="AE24:AG24"/>
    <mergeCell ref="U32:AE32"/>
    <mergeCell ref="AF32:AI32"/>
    <mergeCell ref="AJ32:AK32"/>
    <mergeCell ref="AL32:AO32"/>
    <mergeCell ref="AP32:AR32"/>
    <mergeCell ref="AS32:AT32"/>
    <mergeCell ref="AU32:AW32"/>
    <mergeCell ref="AX32:AZ32"/>
    <mergeCell ref="BA32:BC32"/>
    <mergeCell ref="Y28:AA28"/>
    <mergeCell ref="AB28:AC28"/>
    <mergeCell ref="U27:AD27"/>
    <mergeCell ref="AE27:AG27"/>
    <mergeCell ref="BR12:BV12"/>
    <mergeCell ref="U22:AD22"/>
    <mergeCell ref="AE22:AG22"/>
    <mergeCell ref="U23:AD23"/>
    <mergeCell ref="AE23:AG23"/>
    <mergeCell ref="BR13:BV13"/>
    <mergeCell ref="AU20:AV20"/>
    <mergeCell ref="AW20:AZ20"/>
    <mergeCell ref="BA20:BC20"/>
    <mergeCell ref="AU21:AV21"/>
    <mergeCell ref="AW21:AZ21"/>
    <mergeCell ref="BG14:BQ14"/>
    <mergeCell ref="BR14:BV14"/>
    <mergeCell ref="BG15:BQ15"/>
    <mergeCell ref="BR15:BV15"/>
    <mergeCell ref="BG16:BQ16"/>
    <mergeCell ref="BR16:BV16"/>
    <mergeCell ref="BR18:BV18"/>
    <mergeCell ref="AO16:AS16"/>
    <mergeCell ref="AT16:BC16"/>
    <mergeCell ref="BR11:BV11"/>
    <mergeCell ref="BW11:CA11"/>
    <mergeCell ref="AN3:AP3"/>
    <mergeCell ref="AN4:AP4"/>
    <mergeCell ref="AN5:AP5"/>
    <mergeCell ref="AN8:AP8"/>
    <mergeCell ref="AN9:AP9"/>
    <mergeCell ref="AN10:AP10"/>
    <mergeCell ref="AN11:AP11"/>
    <mergeCell ref="BG10:BQ10"/>
    <mergeCell ref="BR4:BV4"/>
    <mergeCell ref="BW4:CA4"/>
    <mergeCell ref="AQ11:AR11"/>
    <mergeCell ref="AQ6:AR6"/>
    <mergeCell ref="AQ7:AR7"/>
    <mergeCell ref="AQ8:AR8"/>
    <mergeCell ref="AQ9:AR9"/>
    <mergeCell ref="AQ10:AR10"/>
    <mergeCell ref="AN6:AP6"/>
    <mergeCell ref="AN7:AP7"/>
    <mergeCell ref="AQ3:AR3"/>
    <mergeCell ref="AQ4:AR4"/>
    <mergeCell ref="AQ5:AR5"/>
    <mergeCell ref="BG7:BQ7"/>
    <mergeCell ref="U3:AC3"/>
    <mergeCell ref="U13:AD13"/>
    <mergeCell ref="AE13:AG13"/>
    <mergeCell ref="AH3:AJ3"/>
    <mergeCell ref="AH4:AJ4"/>
    <mergeCell ref="AH5:AJ5"/>
    <mergeCell ref="AH6:AJ6"/>
    <mergeCell ref="AD3:AG3"/>
    <mergeCell ref="AK3:AM3"/>
    <mergeCell ref="AD4:AG4"/>
    <mergeCell ref="AK4:AM4"/>
    <mergeCell ref="AD5:AG5"/>
    <mergeCell ref="AK5:AM5"/>
    <mergeCell ref="BW12:CA12"/>
    <mergeCell ref="U9:AC9"/>
    <mergeCell ref="U10:AC10"/>
    <mergeCell ref="U11:AC11"/>
    <mergeCell ref="D3:F3"/>
    <mergeCell ref="G3:J3"/>
    <mergeCell ref="P28:Q28"/>
    <mergeCell ref="M4:P15"/>
    <mergeCell ref="G4:J4"/>
    <mergeCell ref="G5:J5"/>
    <mergeCell ref="G8:J8"/>
    <mergeCell ref="G9:H9"/>
    <mergeCell ref="P22:Q22"/>
    <mergeCell ref="P23:Q23"/>
    <mergeCell ref="P24:Q24"/>
    <mergeCell ref="P25:Q25"/>
    <mergeCell ref="P26:Q26"/>
    <mergeCell ref="L20:M20"/>
    <mergeCell ref="D4:F4"/>
    <mergeCell ref="D5:F5"/>
    <mergeCell ref="D9:F9"/>
    <mergeCell ref="C16:D16"/>
    <mergeCell ref="C15:D15"/>
    <mergeCell ref="C8:D8"/>
    <mergeCell ref="C19:D19"/>
    <mergeCell ref="L33:M33"/>
    <mergeCell ref="L34:M34"/>
    <mergeCell ref="L35:M35"/>
    <mergeCell ref="L36:M36"/>
    <mergeCell ref="U4:AC4"/>
    <mergeCell ref="U5:AC5"/>
    <mergeCell ref="U8:AC8"/>
    <mergeCell ref="U25:AD25"/>
    <mergeCell ref="U26:AD26"/>
    <mergeCell ref="C34:E34"/>
    <mergeCell ref="C35:E35"/>
    <mergeCell ref="N36:O36"/>
    <mergeCell ref="P36:Q36"/>
    <mergeCell ref="P33:Q33"/>
    <mergeCell ref="P34:Q34"/>
    <mergeCell ref="P35:Q35"/>
    <mergeCell ref="C20:D20"/>
    <mergeCell ref="C21:D21"/>
    <mergeCell ref="N17:P17"/>
    <mergeCell ref="P20:Q20"/>
    <mergeCell ref="U31:BC31"/>
    <mergeCell ref="U29:V29"/>
    <mergeCell ref="W28:X28"/>
    <mergeCell ref="BG13:BQ13"/>
    <mergeCell ref="BG12:BQ12"/>
    <mergeCell ref="BG3:BQ3"/>
    <mergeCell ref="BG18:BQ18"/>
    <mergeCell ref="AF33:AI33"/>
    <mergeCell ref="U33:AE33"/>
    <mergeCell ref="AJ33:AK33"/>
    <mergeCell ref="AL33:AO33"/>
    <mergeCell ref="C30:E30"/>
    <mergeCell ref="C27:E27"/>
    <mergeCell ref="C28:E28"/>
    <mergeCell ref="C29:E29"/>
    <mergeCell ref="C31:E31"/>
    <mergeCell ref="C32:E32"/>
    <mergeCell ref="C33:E33"/>
    <mergeCell ref="L31:M31"/>
    <mergeCell ref="L32:M32"/>
    <mergeCell ref="I24:J24"/>
    <mergeCell ref="P29:Q29"/>
    <mergeCell ref="L29:M29"/>
    <mergeCell ref="L30:M30"/>
    <mergeCell ref="P30:Q30"/>
    <mergeCell ref="P31:Q31"/>
    <mergeCell ref="P32:Q32"/>
    <mergeCell ref="I53:J53"/>
    <mergeCell ref="C46:E46"/>
    <mergeCell ref="C36:E36"/>
    <mergeCell ref="I33:J33"/>
    <mergeCell ref="I34:J34"/>
    <mergeCell ref="I35:J35"/>
    <mergeCell ref="I36:J36"/>
    <mergeCell ref="C38:G38"/>
    <mergeCell ref="C49:E49"/>
    <mergeCell ref="C50:E50"/>
    <mergeCell ref="C51:E51"/>
    <mergeCell ref="C53:E53"/>
    <mergeCell ref="I39:J39"/>
    <mergeCell ref="I40:J40"/>
    <mergeCell ref="I41:J41"/>
    <mergeCell ref="I42:J42"/>
    <mergeCell ref="I43:J43"/>
    <mergeCell ref="I44:J44"/>
    <mergeCell ref="C39:E39"/>
    <mergeCell ref="C40:E40"/>
    <mergeCell ref="C41:E41"/>
    <mergeCell ref="C42:E42"/>
    <mergeCell ref="C43:E43"/>
    <mergeCell ref="C44:E44"/>
    <mergeCell ref="I48:J48"/>
    <mergeCell ref="C47:E47"/>
    <mergeCell ref="C48:E48"/>
    <mergeCell ref="I46:J46"/>
    <mergeCell ref="I47:J47"/>
    <mergeCell ref="C52:E52"/>
    <mergeCell ref="I25:J25"/>
    <mergeCell ref="I26:J26"/>
    <mergeCell ref="I49:J49"/>
    <mergeCell ref="I50:J50"/>
    <mergeCell ref="I51:J51"/>
    <mergeCell ref="C45:E45"/>
    <mergeCell ref="I52:J52"/>
    <mergeCell ref="C25:E25"/>
    <mergeCell ref="L25:M25"/>
    <mergeCell ref="L26:M26"/>
    <mergeCell ref="L27:M27"/>
    <mergeCell ref="C24:E24"/>
    <mergeCell ref="C26:E26"/>
    <mergeCell ref="L21:M21"/>
    <mergeCell ref="L22:M22"/>
    <mergeCell ref="L23:M23"/>
    <mergeCell ref="L24:M24"/>
    <mergeCell ref="C23:J23"/>
    <mergeCell ref="C18:D18"/>
    <mergeCell ref="F18:G18"/>
    <mergeCell ref="F19:G19"/>
    <mergeCell ref="AD8:AG8"/>
    <mergeCell ref="AK8:AM8"/>
    <mergeCell ref="AD9:AG9"/>
    <mergeCell ref="AK9:AM9"/>
    <mergeCell ref="AD10:AG10"/>
    <mergeCell ref="AK10:AM10"/>
    <mergeCell ref="AD11:AG11"/>
    <mergeCell ref="AK11:AM11"/>
    <mergeCell ref="AE15:AG15"/>
    <mergeCell ref="AE16:AG16"/>
    <mergeCell ref="AE17:AG17"/>
    <mergeCell ref="AE18:AG18"/>
    <mergeCell ref="AE19:AG19"/>
    <mergeCell ref="U15:AD15"/>
    <mergeCell ref="U16:AD16"/>
    <mergeCell ref="U17:AD17"/>
    <mergeCell ref="U18:AD18"/>
    <mergeCell ref="U19:AD19"/>
    <mergeCell ref="E8:F8"/>
    <mergeCell ref="I11:J11"/>
    <mergeCell ref="I12:J12"/>
    <mergeCell ref="F20:G20"/>
    <mergeCell ref="F21:G21"/>
    <mergeCell ref="G6:J6"/>
    <mergeCell ref="G7:J7"/>
    <mergeCell ref="U6:AC6"/>
    <mergeCell ref="AD6:AG6"/>
    <mergeCell ref="AK6:AM6"/>
    <mergeCell ref="U7:AC7"/>
    <mergeCell ref="AD7:AG7"/>
    <mergeCell ref="AK7:AM7"/>
    <mergeCell ref="U14:AD14"/>
    <mergeCell ref="AE14:AG14"/>
    <mergeCell ref="AE20:AG20"/>
    <mergeCell ref="AE21:AG21"/>
    <mergeCell ref="U20:AD20"/>
    <mergeCell ref="U21:AD21"/>
    <mergeCell ref="P21:Q21"/>
  </mergeCells>
  <dataValidations count="58">
    <dataValidation type="list" allowBlank="1" showInputMessage="1" showErrorMessage="1" sqref="F9" xr:uid="{69BA89B8-78E4-4010-AABD-B0EA62A65F36}">
      <formula1>INDIRECT(D4)</formula1>
    </dataValidation>
    <dataValidation type="list" allowBlank="1" showInputMessage="1" showErrorMessage="1" sqref="G4" xr:uid="{CB039C08-D56E-4D6B-BFF7-DF3FD766BAD3}">
      <formula1>INDIRECT(D4)</formula1>
    </dataValidation>
    <dataValidation type="list" allowBlank="1" showInputMessage="1" showErrorMessage="1" sqref="G5" xr:uid="{6A597404-CB18-46FE-BDF8-971171D9ED6A}">
      <formula1>INDIRECT(D4)</formula1>
    </dataValidation>
    <dataValidation type="list" allowBlank="1" showInputMessage="1" showErrorMessage="1" sqref="G8:J8" xr:uid="{A68A73B3-8CA3-4A87-9A9D-07FACB509D4C}">
      <formula1>INDIRECT(D4)</formula1>
    </dataValidation>
    <dataValidation type="list" allowBlank="1" showInputMessage="1" showErrorMessage="1" sqref="U4:AC4" xr:uid="{FFBCBCF1-9646-42CB-98F8-B10ABCA39ECE}">
      <formula1>INDIRECT(G4)</formula1>
    </dataValidation>
    <dataValidation type="list" allowBlank="1" showInputMessage="1" showErrorMessage="1" sqref="U5:AC5" xr:uid="{97C4DCA5-E780-4B52-B43A-EEDF90443FA5}">
      <formula1>INDIRECT(G4)</formula1>
    </dataValidation>
    <dataValidation type="list" allowBlank="1" showInputMessage="1" showErrorMessage="1" sqref="U6:AC6" xr:uid="{E53A61FA-F341-44AA-9107-6BAF3724FBCE}">
      <formula1>INDIRECT(G4)</formula1>
    </dataValidation>
    <dataValidation type="list" allowBlank="1" showInputMessage="1" showErrorMessage="1" sqref="U8:AC8" xr:uid="{A8565642-DDBC-44C4-BEEE-277F6F25B1EC}">
      <formula1>INDIRECT(G4)</formula1>
    </dataValidation>
    <dataValidation type="list" allowBlank="1" showInputMessage="1" showErrorMessage="1" sqref="U14:AD27" xr:uid="{622F3F86-DAA8-4784-87D6-FF3311B96DA9}">
      <formula1>Hechizos</formula1>
    </dataValidation>
    <dataValidation type="list" allowBlank="1" showInputMessage="1" showErrorMessage="1" sqref="AE14:AG27" xr:uid="{C7153C20-0C24-407C-9A81-4D15AC273A07}">
      <formula1>Nivel</formula1>
    </dataValidation>
    <dataValidation type="list" allowBlank="1" showInputMessage="1" showErrorMessage="1" sqref="BR4:BV19" xr:uid="{D791A486-7FB9-4E13-9CF4-B734DEE828E7}">
      <formula1>Localizaciones</formula1>
    </dataValidation>
    <dataValidation type="list" allowBlank="1" showInputMessage="1" showErrorMessage="1" sqref="U33:AE37" xr:uid="{C68275BD-F544-44AB-BC84-8E01F4E3B25C}">
      <formula1>Armas_Fuego</formula1>
    </dataValidation>
    <dataValidation type="list" allowBlank="1" showInputMessage="1" showErrorMessage="1" sqref="U42:Z46" xr:uid="{F734F421-3887-491F-BC56-E97CA27A117F}">
      <formula1>Armas_CaC</formula1>
    </dataValidation>
    <dataValidation type="list" allowBlank="1" showInputMessage="1" showErrorMessage="1" sqref="AJ42:AR46" xr:uid="{4468F038-2C53-451E-A674-6D0FC0923EBC}">
      <formula1>Material</formula1>
    </dataValidation>
    <dataValidation type="list" allowBlank="1" showInputMessage="1" showErrorMessage="1" sqref="L39:M41" xr:uid="{D49D01A1-0199-4148-82A9-D3ADDD731D8B}">
      <formula1>Secuela</formula1>
    </dataValidation>
    <dataValidation type="list" allowBlank="1" showInputMessage="1" showErrorMessage="1" promptTitle="Elegir Origen" prompt="Una vez elegido se mostrará las siguientes opciones al lado." sqref="D4:F4" xr:uid="{65557689-1B9F-4513-A7AF-6F2015DE5FBE}">
      <formula1>Origenes</formula1>
    </dataValidation>
    <dataValidation allowBlank="1" showInputMessage="1" showErrorMessage="1" error="Mínimo 3, Máximo 6" sqref="J38" xr:uid="{67A6CF1D-04FE-4D11-8BC7-D0D90EF9F4FD}"/>
    <dataValidation type="list" allowBlank="1" showInputMessage="1" showErrorMessage="1" sqref="N44:Q44" xr:uid="{A1F5CBC6-F24E-42BC-A67F-9D45871A1D09}">
      <formula1>Personalidad</formula1>
    </dataValidation>
    <dataValidation type="list" allowBlank="1" showInputMessage="1" showErrorMessage="1" sqref="N45:Q45" xr:uid="{7818B281-A6C2-479A-8306-BA472EDCEE14}">
      <formula1>Pers_Secreta</formula1>
    </dataValidation>
    <dataValidation type="list" allowBlank="1" showInputMessage="1" showErrorMessage="1" sqref="N46:Q46" xr:uid="{2F7ED91A-C29C-4393-BBBB-9DBA3A152519}">
      <formula1>Ambiente_Infantil</formula1>
    </dataValidation>
    <dataValidation type="list" allowBlank="1" showInputMessage="1" showErrorMessage="1" sqref="N47:Q47" xr:uid="{4E35415D-FC56-4084-8AFD-68B9C33066CD}">
      <formula1>Familia</formula1>
    </dataValidation>
    <dataValidation type="list" allowBlank="1" showInputMessage="1" showErrorMessage="1" sqref="N48:Q48" xr:uid="{A9CA214A-47CB-401E-BDF6-6381A24D6A3A}">
      <formula1>Amistades_Allegados</formula1>
    </dataValidation>
    <dataValidation type="list" allowBlank="1" showInputMessage="1" showErrorMessage="1" sqref="N49:Q49" xr:uid="{F795B9BF-1BBA-44FF-8C5C-A3A3260D1AEA}">
      <formula1>Situación_Legal</formula1>
    </dataValidation>
    <dataValidation type="list" allowBlank="1" showInputMessage="1" showErrorMessage="1" sqref="N50:Q50" xr:uid="{191060BB-4485-4607-9BBC-2D791B287345}">
      <formula1>Posición_económica</formula1>
    </dataValidation>
    <dataValidation type="list" allowBlank="1" showInputMessage="1" showErrorMessage="1" sqref="N52:Q52" xr:uid="{D1ABCBBE-1115-4874-A470-B9F342C9E79C}">
      <formula1>Posición_Social</formula1>
    </dataValidation>
    <dataValidation type="list" allowBlank="1" showInputMessage="1" showErrorMessage="1" sqref="N53:Q53" xr:uid="{8DCEE3AE-4362-43B8-A2D5-278A93CDFE64}">
      <formula1>Situación_pública</formula1>
    </dataValidation>
    <dataValidation type="list" allowBlank="1" showInputMessage="1" showErrorMessage="1" sqref="BG5:BQ5" xr:uid="{D38B2F02-929D-40FC-864F-B9989C3BE15F}">
      <formula1>INDIRECT(G4)</formula1>
    </dataValidation>
    <dataValidation type="list" allowBlank="1" showInputMessage="1" showErrorMessage="1" sqref="G6:J6" xr:uid="{ED919339-B01E-4D40-9E3B-922BC594D797}">
      <formula1>INDIRECT(D4)</formula1>
    </dataValidation>
    <dataValidation type="list" allowBlank="1" showInputMessage="1" showErrorMessage="1" sqref="G7:J7" xr:uid="{74DC5D44-454A-420C-B12E-8AD3AD098D79}">
      <formula1>INDIRECT(D4)</formula1>
    </dataValidation>
    <dataValidation type="list" allowBlank="1" showInputMessage="1" showErrorMessage="1" sqref="AD4:AG11" xr:uid="{8CDFF011-BAF3-4B4A-B181-1862122C2563}">
      <formula1>Rango</formula1>
    </dataValidation>
    <dataValidation type="list" allowBlank="1" showInputMessage="1" showErrorMessage="1" sqref="U7:AC7" xr:uid="{1720A580-BFDE-4C84-92A4-391130A01BA8}">
      <formula1>INDIRECT(G4)</formula1>
    </dataValidation>
    <dataValidation type="list" allowBlank="1" showInputMessage="1" showErrorMessage="1" sqref="BG4:BQ4" xr:uid="{3A7FC873-4D23-41C2-950D-85C86BDBAD7E}">
      <formula1>INDIRECT(G4)</formula1>
    </dataValidation>
    <dataValidation type="list" allowBlank="1" showInputMessage="1" showErrorMessage="1" sqref="U9:AC10" xr:uid="{43FFFEC1-FC9F-4CE7-82FD-948F0FB566F4}">
      <formula1>Poderes</formula1>
    </dataValidation>
    <dataValidation type="list" allowBlank="1" showInputMessage="1" showErrorMessage="1" sqref="N39:N41" xr:uid="{650BA169-0C9B-4729-A277-E1E623993EB8}">
      <formula1>PCs_Secuelas</formula1>
    </dataValidation>
    <dataValidation type="list" allowBlank="1" showInputMessage="1" showErrorMessage="1" sqref="AV13:BC13" xr:uid="{4B057C21-3062-4C7F-9BA7-8FCAFCB7FCD0}">
      <formula1>Ingresos_Tecnificados</formula1>
    </dataValidation>
    <dataValidation type="list" allowBlank="1" showInputMessage="1" showErrorMessage="1" sqref="AT15:BC15 AT27:BC27" xr:uid="{1C3386CE-61B0-4F14-B186-5C322D8CE61D}">
      <formula1>Exoesqueleto_Defensivo</formula1>
    </dataValidation>
    <dataValidation type="list" allowBlank="1" showInputMessage="1" showErrorMessage="1" sqref="AT16:BC16" xr:uid="{80D06C39-84CE-4441-92D5-B9A0A62E4329}">
      <formula1>Servofibras</formula1>
    </dataValidation>
    <dataValidation type="list" allowBlank="1" showInputMessage="1" showErrorMessage="1" sqref="AO18" xr:uid="{5C83F64C-BC23-4380-98DA-F7FA3A16B7F6}">
      <formula1>Exoesqueleto_energético</formula1>
    </dataValidation>
    <dataValidation type="list" allowBlank="1" showInputMessage="1" showErrorMessage="1" sqref="AU20:AU25 AV21:AV25" xr:uid="{0CEDF1B9-72F5-482D-B8DD-67312C0CBFFA}">
      <formula1>Cyborg_PV</formula1>
    </dataValidation>
    <dataValidation type="list" allowBlank="1" showInputMessage="1" showErrorMessage="1" sqref="BA20:BA25 BB21:BC25" xr:uid="{58DF6E15-052E-4420-8C85-BA8B74A9AA67}">
      <formula1>Cyborg_FUE</formula1>
    </dataValidation>
    <dataValidation allowBlank="1" showInputMessage="1" showErrorMessage="1" prompt="1PC por cada 10 puntos" sqref="BA29:BC29" xr:uid="{853B231E-EB28-49EA-8CF9-96FA33A88CA6}"/>
    <dataValidation type="list" operator="equal" allowBlank="1" showInputMessage="1" showErrorMessage="1" prompt="4PC por cada 20 puntos" sqref="AN4:AP9 AN11:AP11" xr:uid="{642DBC9B-D390-4F2A-8186-E38734530253}">
      <formula1>Mejora_poderes</formula1>
    </dataValidation>
    <dataValidation type="list" operator="equal" allowBlank="1" showInputMessage="1" showErrorMessage="1" prompt="4PC por cada rango" sqref="AN10:AP10" xr:uid="{11166386-0E6D-4031-9A4C-F9460F3B568E}">
      <formula1>Mejora_poderes</formula1>
    </dataValidation>
    <dataValidation type="list" allowBlank="1" showInputMessage="1" showErrorMessage="1" sqref="BL36:BU36" xr:uid="{EF0B11C4-240D-49A2-840C-75F9986133A7}">
      <formula1>Tipo_base</formula1>
    </dataValidation>
    <dataValidation type="list" allowBlank="1" showInputMessage="1" showErrorMessage="1" sqref="BG7:BQ7" xr:uid="{862338AA-751A-45F7-8495-DF81F20C89DE}">
      <formula1>INDIRECT(G4)</formula1>
    </dataValidation>
    <dataValidation type="list" allowBlank="1" showInputMessage="1" showErrorMessage="1" sqref="BG6:BQ6" xr:uid="{5537A03F-7957-4B32-9CFA-20EBAD13AAB1}">
      <formula1>INDIRECT(G4)</formula1>
    </dataValidation>
    <dataValidation type="list" allowBlank="1" showInputMessage="1" showErrorMessage="1" sqref="BG8:BQ8" xr:uid="{961F9D07-AC23-4AFF-A0E5-4D190D59877C}">
      <formula1>INDIRECT(G4)</formula1>
    </dataValidation>
    <dataValidation type="list" allowBlank="1" showInputMessage="1" showErrorMessage="1" sqref="BG9:BQ9" xr:uid="{391DA0E0-5B36-4717-86F6-4F535A45DE5F}">
      <formula1>INDIRECT(G4)</formula1>
    </dataValidation>
    <dataValidation type="list" allowBlank="1" showInputMessage="1" showErrorMessage="1" sqref="BG10:BQ10" xr:uid="{BBFAA283-7D85-4DEE-B995-0E1076E171D8}">
      <formula1>INDIRECT(G4)</formula1>
    </dataValidation>
    <dataValidation type="list" allowBlank="1" showInputMessage="1" showErrorMessage="1" sqref="BG11:BQ11" xr:uid="{5D175EB4-C383-48A7-B03A-7B2B87829E5C}">
      <formula1>INDIRECT(G4)</formula1>
    </dataValidation>
    <dataValidation type="list" allowBlank="1" showInputMessage="1" showErrorMessage="1" sqref="BG12:BQ12" xr:uid="{9DF1E1BF-5D7D-48EF-AE43-BFECD08919FF}">
      <formula1>INDIRECT(G4)</formula1>
    </dataValidation>
    <dataValidation type="list" allowBlank="1" showInputMessage="1" showErrorMessage="1" sqref="BG13:BQ13" xr:uid="{6048CB70-8A49-46C6-B30F-A3BE61EE8672}">
      <formula1>INDIRECT(G4)</formula1>
    </dataValidation>
    <dataValidation type="list" allowBlank="1" showInputMessage="1" showErrorMessage="1" sqref="BG14:BQ14" xr:uid="{E59FDB69-D7E1-435B-B1CB-EA0208F85C0D}">
      <formula1>INDIRECT(G4)</formula1>
    </dataValidation>
    <dataValidation type="list" allowBlank="1" showInputMessage="1" showErrorMessage="1" sqref="BG15:BQ15" xr:uid="{124FB64E-AD3F-48C1-95A4-893B9858CB94}">
      <formula1>INDIRECT(G4)</formula1>
    </dataValidation>
    <dataValidation type="list" allowBlank="1" showInputMessage="1" showErrorMessage="1" sqref="BG16:BQ16" xr:uid="{80175367-641B-46D7-9C81-01D65AB717B4}">
      <formula1>INDIRECT(G4)</formula1>
    </dataValidation>
    <dataValidation type="list" allowBlank="1" showInputMessage="1" showErrorMessage="1" sqref="BG17:BQ17" xr:uid="{531BABF3-B9FD-4F8F-99F8-DD3158B71E44}">
      <formula1>INDIRECT(G4)</formula1>
    </dataValidation>
    <dataValidation type="list" allowBlank="1" showInputMessage="1" showErrorMessage="1" sqref="BG18:BQ18" xr:uid="{7F124930-C181-44A7-9063-0CC4BFAA878D}">
      <formula1>INDIRECT(G4)</formula1>
    </dataValidation>
    <dataValidation type="list" allowBlank="1" showInputMessage="1" showErrorMessage="1" sqref="BG19:BQ19" xr:uid="{5EB1CB79-658F-45B2-97CC-96A26C1A0A36}">
      <formula1>INDIRECT(G4)</formula1>
    </dataValidation>
  </dataValidations>
  <pageMargins left="0.7" right="0.7" top="0.75" bottom="0.75" header="0.3" footer="0.3"/>
  <pageSetup paperSize="9" orientation="portrait" r:id="rId1"/>
  <ignoredErrors>
    <ignoredError sqref="N32" formula="1"/>
  </ignoredErrors>
  <legacyDrawing r:id="rId2"/>
  <extLst>
    <ext xmlns:x14="http://schemas.microsoft.com/office/spreadsheetml/2009/9/main" uri="{CCE6A557-97BC-4b89-ADB6-D9C93CAAB3DF}">
      <x14:dataValidations xmlns:xm="http://schemas.microsoft.com/office/excel/2006/main" count="5">
        <x14:dataValidation type="list" allowBlank="1" showInputMessage="1" showErrorMessage="1" xr:uid="{A450D05D-2ECD-4D65-8424-75E85186A975}">
          <x14:formula1>
            <xm:f>Habilidades!$A$2:$A$29</xm:f>
          </x14:formula1>
          <xm:sqref>C40:C51</xm:sqref>
        </x14:dataValidation>
        <x14:dataValidation type="custom" allowBlank="1" showInputMessage="1" showErrorMessage="1" error="Solo múltiplos de 10" prompt="1PC por cada 10 puntos" xr:uid="{5FDF7419-79F9-46F3-9E81-4583DFD48BC7}">
          <x14:formula1>
            <xm:f>H25=MROUND(H25,'EXP-PCs'!$H$5)</xm:f>
          </x14:formula1>
          <xm:sqref>H25:H36 H40:H53</xm:sqref>
        </x14:dataValidation>
        <x14:dataValidation type="custom" allowBlank="1" showInputMessage="1" showErrorMessage="1" error="Solo múltiplos de 5" prompt="1PC por cada 5 puntos" xr:uid="{5B6E52C7-9A31-4BA3-8FA1-7DBEDC145BFD}">
          <x14:formula1>
            <xm:f>H16=MROUND(H16,'EXP-PCs'!H4)</xm:f>
          </x14:formula1>
          <xm:sqref>H16</xm:sqref>
        </x14:dataValidation>
        <x14:dataValidation type="custom" allowBlank="1" showInputMessage="1" showErrorMessage="1" error="Solo múltiplos de 10" prompt="1PC por cada 10 puntos" xr:uid="{E1F63111-1B45-4772-AC36-733BB2214DE9}">
          <x14:formula1>
            <xm:f>H15=MROUND(H15,'EXP-PCs'!H3)</xm:f>
          </x14:formula1>
          <xm:sqref>H15</xm:sqref>
        </x14:dataValidation>
        <x14:dataValidation type="custom" allowBlank="1" showInputMessage="1" showErrorMessage="1" prompt="2PC por cada 10 puntos" xr:uid="{4F47C692-F915-41E4-AA4D-B1A3A7B08CA3}">
          <x14:formula1>
            <xm:f>J18=MROUND(J18,'EXP-PCs'!H9)</xm:f>
          </x14:formula1>
          <xm:sqref>J18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C89494-239B-4FA6-A43B-41F0DDCF2D47}">
  <dimension ref="A1:S46"/>
  <sheetViews>
    <sheetView topLeftCell="A2" workbookViewId="0">
      <selection activeCell="I21" sqref="I21"/>
    </sheetView>
  </sheetViews>
  <sheetFormatPr baseColWidth="10" defaultRowHeight="15" x14ac:dyDescent="0.25"/>
  <cols>
    <col min="1" max="1" width="10.140625" bestFit="1" customWidth="1"/>
    <col min="2" max="2" width="6.42578125" customWidth="1"/>
    <col min="3" max="3" width="10.140625" bestFit="1" customWidth="1"/>
    <col min="4" max="4" width="13.85546875" bestFit="1" customWidth="1"/>
    <col min="7" max="7" width="20.28515625" bestFit="1" customWidth="1"/>
    <col min="8" max="8" width="20.140625" bestFit="1" customWidth="1"/>
    <col min="9" max="9" width="13.5703125" bestFit="1" customWidth="1"/>
    <col min="10" max="10" width="13.42578125" bestFit="1" customWidth="1"/>
    <col min="11" max="11" width="26.85546875" bestFit="1" customWidth="1"/>
    <col min="12" max="12" width="12.5703125" bestFit="1" customWidth="1"/>
    <col min="13" max="13" width="12.140625" bestFit="1" customWidth="1"/>
    <col min="14" max="14" width="4.85546875" customWidth="1"/>
    <col min="15" max="15" width="20.140625" bestFit="1" customWidth="1"/>
    <col min="16" max="16" width="12.140625" bestFit="1" customWidth="1"/>
  </cols>
  <sheetData>
    <row r="1" spans="1:18" x14ac:dyDescent="0.25">
      <c r="A1" t="s">
        <v>526</v>
      </c>
      <c r="B1" t="s">
        <v>113</v>
      </c>
      <c r="C1" t="s">
        <v>526</v>
      </c>
      <c r="D1" t="s">
        <v>527</v>
      </c>
      <c r="F1" s="326" t="s">
        <v>546</v>
      </c>
      <c r="G1" s="326"/>
      <c r="H1" s="326"/>
      <c r="I1" s="326" t="s">
        <v>562</v>
      </c>
      <c r="J1" s="326"/>
      <c r="K1" t="s">
        <v>179</v>
      </c>
      <c r="L1" t="s">
        <v>563</v>
      </c>
      <c r="M1" t="s">
        <v>564</v>
      </c>
      <c r="O1" s="45" t="s">
        <v>666</v>
      </c>
      <c r="P1" s="45" t="s">
        <v>564</v>
      </c>
      <c r="Q1" s="64"/>
      <c r="R1" s="64"/>
    </row>
    <row r="2" spans="1:18" ht="15" customHeight="1" x14ac:dyDescent="0.25">
      <c r="A2">
        <v>0</v>
      </c>
      <c r="B2">
        <v>1</v>
      </c>
      <c r="C2">
        <v>0</v>
      </c>
      <c r="D2">
        <v>0</v>
      </c>
      <c r="F2" t="s">
        <v>539</v>
      </c>
      <c r="G2" t="s">
        <v>536</v>
      </c>
      <c r="H2" t="s">
        <v>540</v>
      </c>
      <c r="I2" s="45" t="s">
        <v>547</v>
      </c>
      <c r="K2" t="s">
        <v>181</v>
      </c>
      <c r="L2">
        <v>50</v>
      </c>
      <c r="M2">
        <v>0</v>
      </c>
      <c r="O2" s="45" t="s">
        <v>602</v>
      </c>
      <c r="P2" s="45">
        <f>IFERROR(ABS(VLOOKUP(Ficha!N48,'Historia y Personaje'!D1:F7,3,FALSE)),0)</f>
        <v>0</v>
      </c>
      <c r="Q2" s="64"/>
      <c r="R2" s="64"/>
    </row>
    <row r="3" spans="1:18" ht="15" customHeight="1" x14ac:dyDescent="0.25">
      <c r="A3">
        <v>20</v>
      </c>
      <c r="B3">
        <v>2</v>
      </c>
      <c r="C3">
        <v>20</v>
      </c>
      <c r="D3">
        <v>4</v>
      </c>
      <c r="F3">
        <v>1</v>
      </c>
      <c r="G3" t="s">
        <v>114</v>
      </c>
      <c r="H3">
        <v>10</v>
      </c>
      <c r="I3" s="45">
        <f>Ficha!H15/'EXP-PCs'!H3</f>
        <v>0</v>
      </c>
      <c r="K3" t="s">
        <v>303</v>
      </c>
      <c r="L3">
        <v>25</v>
      </c>
      <c r="M3">
        <v>0</v>
      </c>
      <c r="O3" s="45" t="s">
        <v>619</v>
      </c>
      <c r="P3" s="45">
        <f>IFERROR(ABS(VLOOKUP(Ficha!N52,'Historia y Personaje'!D11:F16,3,FALSE)),0)</f>
        <v>0</v>
      </c>
      <c r="Q3" s="64"/>
      <c r="R3" s="64"/>
    </row>
    <row r="4" spans="1:18" ht="15" customHeight="1" x14ac:dyDescent="0.25">
      <c r="A4">
        <v>50</v>
      </c>
      <c r="B4">
        <v>3</v>
      </c>
      <c r="C4">
        <v>50</v>
      </c>
      <c r="D4">
        <v>4</v>
      </c>
      <c r="F4">
        <v>1</v>
      </c>
      <c r="G4" t="s">
        <v>534</v>
      </c>
      <c r="H4">
        <v>5</v>
      </c>
      <c r="I4" s="45">
        <f>Ficha!H16/'EXP-PCs'!H4</f>
        <v>0</v>
      </c>
      <c r="K4" t="s">
        <v>182</v>
      </c>
      <c r="L4">
        <v>20</v>
      </c>
      <c r="M4">
        <v>0</v>
      </c>
      <c r="O4" s="63" t="s">
        <v>608</v>
      </c>
      <c r="P4" s="45">
        <f>IFERROR(ABS(VLOOKUP(Ficha!N49,'Historia y Personaje'!H1:J6,3,FALSE)),0)</f>
        <v>0</v>
      </c>
      <c r="Q4" s="64"/>
      <c r="R4" s="64"/>
    </row>
    <row r="5" spans="1:18" x14ac:dyDescent="0.25">
      <c r="A5">
        <v>90</v>
      </c>
      <c r="B5">
        <v>4</v>
      </c>
      <c r="C5">
        <v>90</v>
      </c>
      <c r="D5">
        <v>4</v>
      </c>
      <c r="F5">
        <v>1</v>
      </c>
      <c r="G5" t="s">
        <v>541</v>
      </c>
      <c r="H5">
        <v>10</v>
      </c>
      <c r="I5" s="45">
        <f>((SUM(Ficha!H25:H36)+SUM(Ficha!H40:H53))/'EXP-PCs'!H5)+(Ficha!BA29/'EXP-PCs'!H5)</f>
        <v>0</v>
      </c>
      <c r="K5" t="s">
        <v>191</v>
      </c>
      <c r="L5">
        <v>40</v>
      </c>
      <c r="M5">
        <f>IF(COUNTIF(Ficha!G4:J8,K5),10,0)</f>
        <v>0</v>
      </c>
      <c r="O5" s="63" t="s">
        <v>601</v>
      </c>
      <c r="P5" s="45">
        <f>IFERROR(ABS(VLOOKUP(Ficha!N50,'Historia y Personaje'!H11:J18,3,FALSE)),0)</f>
        <v>0</v>
      </c>
      <c r="Q5" s="64"/>
      <c r="R5" s="64"/>
    </row>
    <row r="6" spans="1:18" x14ac:dyDescent="0.25">
      <c r="A6">
        <v>140</v>
      </c>
      <c r="B6">
        <v>5</v>
      </c>
      <c r="C6">
        <v>140</v>
      </c>
      <c r="D6">
        <v>5</v>
      </c>
      <c r="F6">
        <v>2</v>
      </c>
      <c r="G6" t="s">
        <v>680</v>
      </c>
      <c r="H6">
        <v>1</v>
      </c>
      <c r="I6" s="45">
        <f>MAX(0,(COUNTA(Ficha!C40:E51)-Ficha!J38)*F6)+Ficha!J38</f>
        <v>0</v>
      </c>
      <c r="K6" t="s">
        <v>192</v>
      </c>
      <c r="L6">
        <v>65</v>
      </c>
      <c r="M6">
        <f>IF(COUNTIF(Ficha!G4:J8,K6),10,0)</f>
        <v>0</v>
      </c>
    </row>
    <row r="7" spans="1:18" ht="15" customHeight="1" x14ac:dyDescent="0.25">
      <c r="A7">
        <v>200</v>
      </c>
      <c r="B7">
        <v>6</v>
      </c>
      <c r="C7">
        <v>200</v>
      </c>
      <c r="D7">
        <v>5</v>
      </c>
      <c r="F7">
        <v>2</v>
      </c>
      <c r="G7" t="s">
        <v>542</v>
      </c>
      <c r="H7">
        <v>1</v>
      </c>
      <c r="I7" s="45"/>
      <c r="K7" t="s">
        <v>553</v>
      </c>
      <c r="L7">
        <f>IF(Ficha!I9&lt;0,5,5+Ficha!I9)</f>
        <v>5</v>
      </c>
      <c r="M7">
        <f>IF(Ficha!G4=K7,IF(Ficha!I9=-2,2,0),0)</f>
        <v>0</v>
      </c>
    </row>
    <row r="8" spans="1:18" ht="15" customHeight="1" x14ac:dyDescent="0.25">
      <c r="A8">
        <v>270</v>
      </c>
      <c r="B8">
        <v>7</v>
      </c>
      <c r="C8">
        <v>270</v>
      </c>
      <c r="D8">
        <v>5</v>
      </c>
      <c r="F8">
        <v>2</v>
      </c>
      <c r="G8" t="s">
        <v>544</v>
      </c>
      <c r="H8">
        <v>10</v>
      </c>
      <c r="I8" s="59">
        <f>SUM(Ficha!P21:Q27)/5</f>
        <v>0</v>
      </c>
      <c r="K8" t="s">
        <v>554</v>
      </c>
      <c r="L8">
        <f>IF(Ficha!I9&lt;0,5,5+Ficha!I9)</f>
        <v>5</v>
      </c>
      <c r="M8">
        <f>IF(Ficha!G4=K8,IF(Ficha!I9=-2,2,0),0)</f>
        <v>0</v>
      </c>
    </row>
    <row r="9" spans="1:18" x14ac:dyDescent="0.25">
      <c r="A9">
        <v>350</v>
      </c>
      <c r="B9">
        <v>8</v>
      </c>
      <c r="C9">
        <v>350</v>
      </c>
      <c r="D9">
        <v>6</v>
      </c>
      <c r="F9">
        <v>2</v>
      </c>
      <c r="G9" t="s">
        <v>545</v>
      </c>
      <c r="H9">
        <v>10</v>
      </c>
      <c r="I9" s="45">
        <f>Ficha!J18/5</f>
        <v>0</v>
      </c>
      <c r="K9" t="s">
        <v>555</v>
      </c>
      <c r="L9">
        <f>IF(Ficha!I9&lt;0,5,5+Ficha!I9)</f>
        <v>5</v>
      </c>
      <c r="M9">
        <f>IF(Ficha!G4=K9,IF(Ficha!I9=-2,2,0),0)</f>
        <v>0</v>
      </c>
    </row>
    <row r="10" spans="1:18" x14ac:dyDescent="0.25">
      <c r="A10">
        <v>440</v>
      </c>
      <c r="B10">
        <v>9</v>
      </c>
      <c r="C10">
        <v>440</v>
      </c>
      <c r="D10">
        <v>6</v>
      </c>
      <c r="F10">
        <v>4</v>
      </c>
      <c r="G10" t="s">
        <v>543</v>
      </c>
      <c r="H10">
        <v>1</v>
      </c>
      <c r="I10" s="45">
        <f>SUM(Ficha!AN4:AP11)*4</f>
        <v>0</v>
      </c>
      <c r="K10" t="s">
        <v>556</v>
      </c>
      <c r="L10">
        <f>IF(Ficha!I9&lt;0,5,5+Ficha!I9)</f>
        <v>5</v>
      </c>
      <c r="M10">
        <f>IF(Ficha!G4=K10,IF(Ficha!I9=-2,2,0),0)</f>
        <v>0</v>
      </c>
    </row>
    <row r="11" spans="1:18" x14ac:dyDescent="0.25">
      <c r="A11">
        <v>540</v>
      </c>
      <c r="B11">
        <v>10</v>
      </c>
      <c r="C11">
        <v>540</v>
      </c>
      <c r="D11">
        <v>6</v>
      </c>
      <c r="K11" t="s">
        <v>557</v>
      </c>
      <c r="L11">
        <f>IF(Ficha!I9&lt;0,5,5+Ficha!I9)</f>
        <v>5</v>
      </c>
      <c r="M11">
        <f>IF(Ficha!G4=K11,IF(Ficha!I9=-2,2,0),0)</f>
        <v>0</v>
      </c>
    </row>
    <row r="12" spans="1:18" x14ac:dyDescent="0.25">
      <c r="A12">
        <v>650</v>
      </c>
      <c r="B12">
        <v>11</v>
      </c>
      <c r="C12">
        <v>650</v>
      </c>
      <c r="D12">
        <v>7</v>
      </c>
      <c r="I12" t="s">
        <v>547</v>
      </c>
      <c r="K12" t="s">
        <v>558</v>
      </c>
      <c r="L12">
        <f>IF(Ficha!I9&lt;0,5,5+Ficha!I9)</f>
        <v>5</v>
      </c>
      <c r="M12">
        <f>IF(Ficha!G4=K12,IF(Ficha!I9=-2,2,0),0)</f>
        <v>0</v>
      </c>
    </row>
    <row r="13" spans="1:18" x14ac:dyDescent="0.25">
      <c r="A13">
        <v>770</v>
      </c>
      <c r="B13">
        <v>12</v>
      </c>
      <c r="C13">
        <v>770</v>
      </c>
      <c r="D13">
        <v>7</v>
      </c>
      <c r="H13" t="s">
        <v>549</v>
      </c>
      <c r="I13">
        <f>IFERROR(VLOOKUP(Ficha!G4,'EXP-PCs'!K2:L46,2,FALSE),0)+IFERROR(VLOOKUP(Ficha!G5,'EXP-PCs'!K2:L46,2,FALSE),0)+IFERROR(VLOOKUP(Ficha!G6,'EXP-PCs'!K2:L46,2,FALSE),0)+IFERROR(VLOOKUP(Ficha!G7,'EXP-PCs'!K2:L46,2,FALSE),0)+IFERROR(VLOOKUP(Ficha!G8,'EXP-PCs'!K2:L46,2,FALSE),0)+IF(Ficha!D4="Vigilante",1,0)</f>
        <v>0</v>
      </c>
      <c r="K13" t="s">
        <v>559</v>
      </c>
      <c r="L13">
        <f>IF(Ficha!I9&lt;0,5,5+Ficha!I9)</f>
        <v>5</v>
      </c>
      <c r="M13">
        <f>IF(Ficha!G4=K13,IF(Ficha!I9=-2,2,0),0)</f>
        <v>0</v>
      </c>
    </row>
    <row r="14" spans="1:18" x14ac:dyDescent="0.25">
      <c r="A14">
        <v>900</v>
      </c>
      <c r="B14">
        <v>13</v>
      </c>
      <c r="C14">
        <v>900</v>
      </c>
      <c r="D14">
        <v>7</v>
      </c>
      <c r="H14" t="s">
        <v>602</v>
      </c>
      <c r="I14">
        <f>IFERROR(VLOOKUP(Ficha!N48,'Historia y Personaje'!D1:E7,2,FALSE),0)</f>
        <v>0</v>
      </c>
      <c r="K14" t="s">
        <v>560</v>
      </c>
      <c r="L14">
        <f>IF(Ficha!I9&lt;0,5,5+Ficha!I9)</f>
        <v>5</v>
      </c>
      <c r="M14">
        <f>IF(Ficha!G4=K14,IF(Ficha!I9=-2,2,0),0)</f>
        <v>0</v>
      </c>
    </row>
    <row r="15" spans="1:18" x14ac:dyDescent="0.25">
      <c r="A15">
        <v>1040</v>
      </c>
      <c r="B15">
        <v>14</v>
      </c>
      <c r="C15">
        <v>1040</v>
      </c>
      <c r="D15">
        <v>8</v>
      </c>
      <c r="H15" t="s">
        <v>619</v>
      </c>
      <c r="I15">
        <f>IFERROR(VLOOKUP(Ficha!N52,'Historia y Personaje'!D11:E16,2,FALSE),0)</f>
        <v>0</v>
      </c>
      <c r="K15" t="s">
        <v>193</v>
      </c>
      <c r="L15">
        <v>5</v>
      </c>
      <c r="M15">
        <v>0</v>
      </c>
    </row>
    <row r="16" spans="1:18" x14ac:dyDescent="0.25">
      <c r="A16">
        <v>1190</v>
      </c>
      <c r="B16">
        <v>15</v>
      </c>
      <c r="C16">
        <v>1190</v>
      </c>
      <c r="D16">
        <v>8</v>
      </c>
      <c r="H16" s="47" t="s">
        <v>608</v>
      </c>
      <c r="I16">
        <f>IFERROR(VLOOKUP(Ficha!N49,'Historia y Personaje'!H1:I6,2,FALSE),0)</f>
        <v>0</v>
      </c>
      <c r="K16" t="s">
        <v>194</v>
      </c>
      <c r="L16">
        <v>5</v>
      </c>
      <c r="M16">
        <v>0</v>
      </c>
    </row>
    <row r="17" spans="1:19" x14ac:dyDescent="0.25">
      <c r="A17">
        <v>1350</v>
      </c>
      <c r="B17">
        <v>16</v>
      </c>
      <c r="C17">
        <v>1350</v>
      </c>
      <c r="D17">
        <v>8</v>
      </c>
      <c r="H17" s="47" t="s">
        <v>601</v>
      </c>
      <c r="I17">
        <f>IFERROR(VLOOKUP(Ficha!N50,'Historia y Personaje'!H11:I18,2,FALSE),0)</f>
        <v>0</v>
      </c>
      <c r="K17" t="s">
        <v>195</v>
      </c>
      <c r="L17">
        <v>5</v>
      </c>
      <c r="M17">
        <v>0</v>
      </c>
    </row>
    <row r="18" spans="1:19" x14ac:dyDescent="0.25">
      <c r="A18">
        <v>1520</v>
      </c>
      <c r="B18">
        <v>17</v>
      </c>
      <c r="C18">
        <v>1520</v>
      </c>
      <c r="D18">
        <v>9</v>
      </c>
      <c r="H18" s="47" t="s">
        <v>742</v>
      </c>
      <c r="I18">
        <f>IFERROR(SUM(VLOOKUP(Ficha!AT15,Origen!E32:F37,2,FALSE)),0)+IFERROR(SUM(VLOOKUP(Ficha!AT16,Origen!E40:F50,2,FALSE)),0)+IFERROR(SUM(VLOOKUP(Ficha!AU20,Origen!H36:J41,3,FALSE)),0)+IFERROR(SUM(VLOOKUP(Ficha!AU21,Origen!H36:J41,3,FALSE)),0)+IFERROR(SUM(VLOOKUP(Ficha!AU22,Origen!H36:J41,3,FALSE)),0)+IFERROR(SUM(VLOOKUP(Ficha!AU23,Origen!H36:J41,3,FALSE)),0)+IFERROR(SUM(VLOOKUP(Ficha!AU24,Origen!H36:J41,3,FALSE)),0)+IFERROR(SUM(VLOOKUP(Ficha!AU25,Origen!H36:J41,3,FALSE)),0)+IFERROR(SUM(VLOOKUP(Ficha!BA20,Origen!H43:I48,2,FALSE)),0)+IFERROR(SUM(VLOOKUP(Ficha!BA21,Origen!H43:I48,2,FALSE)),0)+IFERROR(SUM(VLOOKUP(Ficha!BA22,Origen!H43:I48,2,FALSE)),0)+IFERROR(SUM(VLOOKUP(Ficha!BA23,Origen!H43:I48,2,FALSE)),0)+IFERROR(SUM(VLOOKUP(Ficha!BA24,Origen!H43:I48,2,FALSE)),0)+IFERROR(SUM(VLOOKUP(Ficha!BA25,Origen!H43:I48,2,FALSE)),0)+IFERROR(VLOOKUP(Ficha!AT27,Origen!E32:F37,2,FALSE),0)</f>
        <v>0</v>
      </c>
      <c r="K18" t="s">
        <v>565</v>
      </c>
      <c r="L18">
        <v>5</v>
      </c>
      <c r="M18">
        <v>0</v>
      </c>
    </row>
    <row r="19" spans="1:19" x14ac:dyDescent="0.25">
      <c r="A19">
        <v>1700</v>
      </c>
      <c r="B19">
        <v>18</v>
      </c>
      <c r="C19">
        <v>1700</v>
      </c>
      <c r="D19">
        <v>9</v>
      </c>
      <c r="H19" s="47" t="s">
        <v>743</v>
      </c>
      <c r="I19">
        <f>Ficha!BZ22+Ficha!BZ24+Ficha!BZ26+Ficha!BZ28+Ficha!BZ30+Ficha!BZ32</f>
        <v>0</v>
      </c>
      <c r="K19" t="s">
        <v>566</v>
      </c>
      <c r="L19">
        <v>5</v>
      </c>
      <c r="M19">
        <v>0</v>
      </c>
    </row>
    <row r="20" spans="1:19" x14ac:dyDescent="0.25">
      <c r="A20">
        <v>1890</v>
      </c>
      <c r="B20">
        <v>19</v>
      </c>
      <c r="C20">
        <v>1890</v>
      </c>
      <c r="D20">
        <v>9</v>
      </c>
      <c r="H20" s="47" t="s">
        <v>744</v>
      </c>
      <c r="I20">
        <f>Ficha!BY36</f>
        <v>0</v>
      </c>
      <c r="K20" t="s">
        <v>568</v>
      </c>
      <c r="L20">
        <v>5</v>
      </c>
      <c r="M20">
        <v>0</v>
      </c>
    </row>
    <row r="21" spans="1:19" x14ac:dyDescent="0.25">
      <c r="A21">
        <v>2090</v>
      </c>
      <c r="B21">
        <v>20</v>
      </c>
      <c r="C21">
        <v>2090</v>
      </c>
      <c r="D21">
        <v>10</v>
      </c>
      <c r="H21" s="47" t="s">
        <v>764</v>
      </c>
      <c r="I21">
        <f>IFERROR(VLOOKUP(Ficha!BG4,Tecnoarmaduras!I19:J50,2,FALSE),0)+IFERROR(VLOOKUP(Ficha!BG5,Tecnoarmaduras!I19:J50,2,FALSE),0)+IFERROR(VLOOKUP(Ficha!BG6,Tecnoarmaduras!I19:J50,2,FALSE),0)+IFERROR(VLOOKUP(Ficha!BG7,Tecnoarmaduras!I19:J50,2,FALSE),0)+IFERROR(VLOOKUP(Ficha!BG8,Tecnoarmaduras!I19:J50,2,FALSE),0)+IFERROR(VLOOKUP(Ficha!BG9,Tecnoarmaduras!I19:J50,2,FALSE),0)+IFERROR(VLOOKUP(Ficha!BG10,Tecnoarmaduras!I19:J50,2,FALSE),0)+IFERROR(VLOOKUP(Ficha!BG11,Tecnoarmaduras!I19:J50,2,FALSE),0)+IFERROR(VLOOKUP(Ficha!BG12,Tecnoarmaduras!I19:J50,2,FALSE),0)+IFERROR(VLOOKUP(Ficha!BG13,Tecnoarmaduras!I19:J50,2,FALSE),0)+IFERROR(VLOOKUP(Ficha!BG14,Tecnoarmaduras!I19:J50,2,FALSE),0)+IFERROR(VLOOKUP(Ficha!BG15,Tecnoarmaduras!I19:J50,2,FALSE),0)+IFERROR(VLOOKUP(Ficha!BG16,Tecnoarmaduras!I19:J50,2,FALSE),0)+IFERROR(VLOOKUP(Ficha!BG17,Tecnoarmaduras!I19:J50,2,FALSE),0)+IFERROR(VLOOKUP(Ficha!BG18,Tecnoarmaduras!I19:J50,2,FALSE),0)+IFERROR(VLOOKUP(Ficha!BG19,Tecnoarmaduras!I19:J50,2,FALSE),0)</f>
        <v>0</v>
      </c>
      <c r="K21" t="s">
        <v>199</v>
      </c>
      <c r="L21" s="1">
        <f>5+IF(Ficha!L39="",2,0)</f>
        <v>7</v>
      </c>
      <c r="M21">
        <v>0</v>
      </c>
    </row>
    <row r="22" spans="1:19" x14ac:dyDescent="0.25">
      <c r="K22" t="s">
        <v>200</v>
      </c>
      <c r="L22">
        <f>5+IF(Ficha!L39="",2,0)</f>
        <v>7</v>
      </c>
      <c r="M22">
        <v>0</v>
      </c>
      <c r="N22" s="47"/>
      <c r="O22" s="47"/>
      <c r="P22" s="47"/>
      <c r="Q22" s="47"/>
      <c r="R22" s="47"/>
      <c r="S22" s="47"/>
    </row>
    <row r="23" spans="1:19" x14ac:dyDescent="0.25">
      <c r="K23" t="s">
        <v>187</v>
      </c>
      <c r="L23">
        <f>30+Ficha!AB29</f>
        <v>30</v>
      </c>
      <c r="M23">
        <v>0</v>
      </c>
    </row>
    <row r="24" spans="1:19" x14ac:dyDescent="0.25">
      <c r="K24" t="s">
        <v>201</v>
      </c>
      <c r="L24">
        <v>35</v>
      </c>
      <c r="M24">
        <v>0</v>
      </c>
    </row>
    <row r="25" spans="1:19" x14ac:dyDescent="0.25">
      <c r="K25" t="s">
        <v>308</v>
      </c>
      <c r="L25">
        <v>15</v>
      </c>
      <c r="M25">
        <v>0</v>
      </c>
    </row>
    <row r="26" spans="1:19" x14ac:dyDescent="0.25">
      <c r="K26" t="s">
        <v>203</v>
      </c>
      <c r="L26">
        <v>10</v>
      </c>
      <c r="M26">
        <v>0</v>
      </c>
    </row>
    <row r="27" spans="1:19" x14ac:dyDescent="0.25">
      <c r="J27" s="325" t="s">
        <v>592</v>
      </c>
      <c r="K27" s="53" t="s">
        <v>205</v>
      </c>
      <c r="L27" s="53">
        <v>5</v>
      </c>
      <c r="M27" s="53"/>
    </row>
    <row r="28" spans="1:19" x14ac:dyDescent="0.25">
      <c r="J28" s="325"/>
      <c r="K28" s="53" t="s">
        <v>296</v>
      </c>
      <c r="L28" s="53">
        <v>4</v>
      </c>
      <c r="M28" s="53"/>
    </row>
    <row r="29" spans="1:19" x14ac:dyDescent="0.25">
      <c r="J29" s="325"/>
      <c r="K29" s="53" t="s">
        <v>206</v>
      </c>
      <c r="L29" s="53">
        <v>5</v>
      </c>
      <c r="M29" s="53"/>
    </row>
    <row r="30" spans="1:19" x14ac:dyDescent="0.25">
      <c r="J30" s="325"/>
      <c r="K30" s="53" t="s">
        <v>207</v>
      </c>
      <c r="L30" s="53">
        <v>5</v>
      </c>
      <c r="M30" s="53"/>
    </row>
    <row r="31" spans="1:19" x14ac:dyDescent="0.25">
      <c r="J31" s="325"/>
      <c r="K31" s="53" t="s">
        <v>297</v>
      </c>
      <c r="L31" s="53">
        <v>5</v>
      </c>
      <c r="M31" s="53"/>
    </row>
    <row r="32" spans="1:19" x14ac:dyDescent="0.25">
      <c r="J32" s="325"/>
      <c r="K32" s="53" t="s">
        <v>208</v>
      </c>
      <c r="L32" s="53">
        <v>4</v>
      </c>
      <c r="M32" s="53"/>
    </row>
    <row r="33" spans="10:13" x14ac:dyDescent="0.25">
      <c r="J33" s="325"/>
      <c r="K33" s="53" t="s">
        <v>298</v>
      </c>
      <c r="L33" s="53">
        <v>4</v>
      </c>
      <c r="M33" s="53"/>
    </row>
    <row r="34" spans="10:13" x14ac:dyDescent="0.25">
      <c r="K34" t="s">
        <v>209</v>
      </c>
      <c r="L34">
        <v>2</v>
      </c>
      <c r="M34">
        <v>0</v>
      </c>
    </row>
    <row r="35" spans="10:13" x14ac:dyDescent="0.25">
      <c r="K35" t="s">
        <v>210</v>
      </c>
      <c r="L35">
        <v>3</v>
      </c>
      <c r="M35">
        <v>0</v>
      </c>
    </row>
    <row r="36" spans="10:13" x14ac:dyDescent="0.25">
      <c r="K36" t="s">
        <v>211</v>
      </c>
      <c r="L36">
        <v>3</v>
      </c>
      <c r="M36">
        <v>0</v>
      </c>
    </row>
    <row r="37" spans="10:13" x14ac:dyDescent="0.25">
      <c r="K37" t="s">
        <v>212</v>
      </c>
      <c r="L37">
        <v>3</v>
      </c>
      <c r="M37">
        <v>0</v>
      </c>
    </row>
    <row r="38" spans="10:13" x14ac:dyDescent="0.25">
      <c r="K38" t="s">
        <v>567</v>
      </c>
      <c r="L38">
        <v>2</v>
      </c>
      <c r="M38">
        <v>0</v>
      </c>
    </row>
    <row r="39" spans="10:13" x14ac:dyDescent="0.25">
      <c r="K39" t="s">
        <v>569</v>
      </c>
      <c r="L39">
        <v>3</v>
      </c>
      <c r="M39">
        <f>IF(COUNTIF(Ficha!G4:J8,K39),4,0)</f>
        <v>0</v>
      </c>
    </row>
    <row r="40" spans="10:13" x14ac:dyDescent="0.25">
      <c r="K40" t="s">
        <v>213</v>
      </c>
      <c r="L40">
        <v>3</v>
      </c>
      <c r="M40">
        <v>0</v>
      </c>
    </row>
    <row r="41" spans="10:13" x14ac:dyDescent="0.25">
      <c r="K41" t="s">
        <v>299</v>
      </c>
      <c r="L41">
        <v>2</v>
      </c>
      <c r="M41">
        <v>0</v>
      </c>
    </row>
    <row r="42" spans="10:13" x14ac:dyDescent="0.25">
      <c r="K42" t="s">
        <v>214</v>
      </c>
      <c r="L42">
        <v>2</v>
      </c>
      <c r="M42">
        <v>0</v>
      </c>
    </row>
    <row r="43" spans="10:13" x14ac:dyDescent="0.25">
      <c r="K43" t="s">
        <v>215</v>
      </c>
      <c r="L43">
        <v>3</v>
      </c>
      <c r="M43">
        <f>IF(COUNTIF(Ficha!G4:J8,K43),2,0)</f>
        <v>0</v>
      </c>
    </row>
    <row r="44" spans="10:13" x14ac:dyDescent="0.25">
      <c r="K44" t="s">
        <v>216</v>
      </c>
      <c r="L44">
        <v>3</v>
      </c>
      <c r="M44">
        <v>0</v>
      </c>
    </row>
    <row r="45" spans="10:13" x14ac:dyDescent="0.25">
      <c r="K45" t="s">
        <v>300</v>
      </c>
      <c r="L45">
        <v>4</v>
      </c>
      <c r="M45">
        <v>0</v>
      </c>
    </row>
    <row r="46" spans="10:13" x14ac:dyDescent="0.25">
      <c r="K46" t="s">
        <v>301</v>
      </c>
      <c r="L46">
        <v>5</v>
      </c>
      <c r="M46">
        <v>0</v>
      </c>
    </row>
  </sheetData>
  <mergeCells count="3">
    <mergeCell ref="J27:J33"/>
    <mergeCell ref="F1:H1"/>
    <mergeCell ref="I1:J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C8143F-C441-49A6-B227-A6B9C9F0FA1E}">
  <dimension ref="A1:L29"/>
  <sheetViews>
    <sheetView workbookViewId="0">
      <selection activeCell="A19" sqref="A19"/>
    </sheetView>
  </sheetViews>
  <sheetFormatPr baseColWidth="10" defaultRowHeight="15" x14ac:dyDescent="0.25"/>
  <cols>
    <col min="1" max="1" width="22" bestFit="1" customWidth="1"/>
    <col min="2" max="2" width="12.28515625" bestFit="1" customWidth="1"/>
    <col min="3" max="3" width="5.85546875" customWidth="1"/>
    <col min="4" max="4" width="36.7109375" bestFit="1" customWidth="1"/>
    <col min="5" max="5" width="12.5703125" bestFit="1" customWidth="1"/>
    <col min="6" max="6" width="12.140625" bestFit="1" customWidth="1"/>
    <col min="7" max="7" width="5" customWidth="1"/>
    <col min="8" max="8" width="16.42578125" bestFit="1" customWidth="1"/>
    <col min="9" max="9" width="12.5703125" bestFit="1" customWidth="1"/>
    <col min="10" max="10" width="12.140625" bestFit="1" customWidth="1"/>
    <col min="11" max="11" width="6.7109375" customWidth="1"/>
    <col min="12" max="12" width="19.140625" bestFit="1" customWidth="1"/>
    <col min="13" max="13" width="4.140625" bestFit="1" customWidth="1"/>
  </cols>
  <sheetData>
    <row r="1" spans="1:12" x14ac:dyDescent="0.25">
      <c r="A1" t="s">
        <v>571</v>
      </c>
      <c r="B1" t="s">
        <v>672</v>
      </c>
      <c r="C1" s="47"/>
      <c r="D1" t="s">
        <v>602</v>
      </c>
      <c r="E1" t="s">
        <v>563</v>
      </c>
      <c r="F1" t="s">
        <v>564</v>
      </c>
      <c r="G1" s="47"/>
      <c r="H1" s="47" t="s">
        <v>608</v>
      </c>
      <c r="I1" t="s">
        <v>563</v>
      </c>
      <c r="J1" t="s">
        <v>564</v>
      </c>
      <c r="L1" t="s">
        <v>625</v>
      </c>
    </row>
    <row r="2" spans="1:12" x14ac:dyDescent="0.25">
      <c r="A2" t="s">
        <v>572</v>
      </c>
      <c r="B2">
        <v>0</v>
      </c>
      <c r="D2" t="s">
        <v>603</v>
      </c>
      <c r="E2">
        <v>0</v>
      </c>
      <c r="F2">
        <v>-2</v>
      </c>
      <c r="H2" t="s">
        <v>609</v>
      </c>
      <c r="I2">
        <v>0</v>
      </c>
      <c r="L2" t="s">
        <v>634</v>
      </c>
    </row>
    <row r="3" spans="1:12" x14ac:dyDescent="0.25">
      <c r="A3" t="s">
        <v>573</v>
      </c>
      <c r="B3">
        <v>1</v>
      </c>
      <c r="D3" t="s">
        <v>604</v>
      </c>
      <c r="E3">
        <v>0</v>
      </c>
      <c r="F3">
        <v>-1</v>
      </c>
      <c r="H3" t="s">
        <v>610</v>
      </c>
      <c r="I3">
        <v>0</v>
      </c>
      <c r="J3">
        <v>-1</v>
      </c>
      <c r="L3" t="s">
        <v>635</v>
      </c>
    </row>
    <row r="4" spans="1:12" x14ac:dyDescent="0.25">
      <c r="A4" t="s">
        <v>574</v>
      </c>
      <c r="B4">
        <v>2</v>
      </c>
      <c r="D4" t="s">
        <v>605</v>
      </c>
      <c r="E4">
        <v>0</v>
      </c>
      <c r="F4">
        <v>0</v>
      </c>
      <c r="H4" t="s">
        <v>611</v>
      </c>
      <c r="I4">
        <v>0</v>
      </c>
      <c r="J4">
        <v>-2</v>
      </c>
      <c r="L4" t="s">
        <v>636</v>
      </c>
    </row>
    <row r="5" spans="1:12" x14ac:dyDescent="0.25">
      <c r="A5" t="s">
        <v>575</v>
      </c>
      <c r="B5">
        <v>3</v>
      </c>
      <c r="D5" t="s">
        <v>606</v>
      </c>
      <c r="E5">
        <v>1</v>
      </c>
      <c r="F5">
        <v>0</v>
      </c>
      <c r="H5" t="s">
        <v>612</v>
      </c>
      <c r="I5">
        <v>0</v>
      </c>
      <c r="J5">
        <v>-3</v>
      </c>
      <c r="L5" t="s">
        <v>637</v>
      </c>
    </row>
    <row r="6" spans="1:12" x14ac:dyDescent="0.25">
      <c r="A6" t="s">
        <v>576</v>
      </c>
      <c r="B6">
        <v>4</v>
      </c>
      <c r="D6" t="s">
        <v>607</v>
      </c>
      <c r="E6">
        <v>2</v>
      </c>
      <c r="F6">
        <v>0</v>
      </c>
      <c r="H6" t="s">
        <v>613</v>
      </c>
      <c r="I6">
        <v>0</v>
      </c>
      <c r="J6">
        <v>-4</v>
      </c>
      <c r="L6" t="s">
        <v>638</v>
      </c>
    </row>
    <row r="7" spans="1:12" x14ac:dyDescent="0.25">
      <c r="A7" t="s">
        <v>577</v>
      </c>
      <c r="D7" t="s">
        <v>660</v>
      </c>
      <c r="E7">
        <v>3</v>
      </c>
      <c r="F7">
        <v>0</v>
      </c>
      <c r="L7" t="s">
        <v>639</v>
      </c>
    </row>
    <row r="8" spans="1:12" x14ac:dyDescent="0.25">
      <c r="A8" t="s">
        <v>578</v>
      </c>
      <c r="L8" t="s">
        <v>640</v>
      </c>
    </row>
    <row r="9" spans="1:12" x14ac:dyDescent="0.25">
      <c r="A9" t="s">
        <v>579</v>
      </c>
      <c r="L9" t="s">
        <v>641</v>
      </c>
    </row>
    <row r="10" spans="1:12" x14ac:dyDescent="0.25">
      <c r="A10" t="s">
        <v>580</v>
      </c>
      <c r="L10" t="s">
        <v>642</v>
      </c>
    </row>
    <row r="11" spans="1:12" x14ac:dyDescent="0.25">
      <c r="A11" t="s">
        <v>581</v>
      </c>
      <c r="D11" t="s">
        <v>619</v>
      </c>
      <c r="E11" t="s">
        <v>563</v>
      </c>
      <c r="F11" t="s">
        <v>564</v>
      </c>
      <c r="H11" s="47" t="s">
        <v>601</v>
      </c>
      <c r="I11" t="s">
        <v>563</v>
      </c>
      <c r="J11" t="s">
        <v>564</v>
      </c>
      <c r="L11" t="s">
        <v>643</v>
      </c>
    </row>
    <row r="12" spans="1:12" x14ac:dyDescent="0.25">
      <c r="A12" t="s">
        <v>582</v>
      </c>
      <c r="D12" t="s">
        <v>614</v>
      </c>
      <c r="E12">
        <v>0</v>
      </c>
      <c r="F12">
        <v>-2</v>
      </c>
      <c r="H12" t="s">
        <v>594</v>
      </c>
      <c r="I12">
        <v>0</v>
      </c>
      <c r="J12">
        <v>-3</v>
      </c>
      <c r="L12" t="s">
        <v>644</v>
      </c>
    </row>
    <row r="13" spans="1:12" x14ac:dyDescent="0.25">
      <c r="A13" t="s">
        <v>583</v>
      </c>
      <c r="D13" t="s">
        <v>615</v>
      </c>
      <c r="E13">
        <v>0</v>
      </c>
      <c r="F13">
        <v>-1</v>
      </c>
      <c r="H13" t="s">
        <v>595</v>
      </c>
      <c r="I13">
        <v>0</v>
      </c>
      <c r="J13">
        <v>-2</v>
      </c>
    </row>
    <row r="14" spans="1:12" x14ac:dyDescent="0.25">
      <c r="A14" t="s">
        <v>584</v>
      </c>
      <c r="D14" t="s">
        <v>616</v>
      </c>
      <c r="E14">
        <v>0</v>
      </c>
      <c r="F14">
        <v>0</v>
      </c>
      <c r="H14" t="s">
        <v>596</v>
      </c>
      <c r="I14">
        <v>0</v>
      </c>
      <c r="J14">
        <v>-1</v>
      </c>
    </row>
    <row r="15" spans="1:12" x14ac:dyDescent="0.25">
      <c r="D15" t="s">
        <v>617</v>
      </c>
      <c r="E15">
        <v>1</v>
      </c>
      <c r="F15">
        <v>0</v>
      </c>
      <c r="H15" t="s">
        <v>597</v>
      </c>
      <c r="I15">
        <v>0</v>
      </c>
      <c r="J15">
        <v>0</v>
      </c>
    </row>
    <row r="16" spans="1:12" x14ac:dyDescent="0.25">
      <c r="D16" t="s">
        <v>618</v>
      </c>
      <c r="E16">
        <v>2</v>
      </c>
      <c r="F16">
        <v>0</v>
      </c>
      <c r="H16" t="s">
        <v>598</v>
      </c>
      <c r="I16">
        <v>1</v>
      </c>
      <c r="J16">
        <v>0</v>
      </c>
      <c r="L16" t="s">
        <v>650</v>
      </c>
    </row>
    <row r="17" spans="1:12" x14ac:dyDescent="0.25">
      <c r="H17" t="s">
        <v>599</v>
      </c>
      <c r="I17">
        <v>2</v>
      </c>
      <c r="J17">
        <v>0</v>
      </c>
      <c r="L17" t="s">
        <v>645</v>
      </c>
    </row>
    <row r="18" spans="1:12" x14ac:dyDescent="0.25">
      <c r="H18" t="s">
        <v>600</v>
      </c>
      <c r="I18">
        <v>4</v>
      </c>
      <c r="J18">
        <v>0</v>
      </c>
      <c r="L18" t="s">
        <v>646</v>
      </c>
    </row>
    <row r="19" spans="1:12" x14ac:dyDescent="0.25">
      <c r="A19" t="s">
        <v>751</v>
      </c>
      <c r="L19" t="s">
        <v>647</v>
      </c>
    </row>
    <row r="20" spans="1:12" x14ac:dyDescent="0.25">
      <c r="A20" t="s">
        <v>752</v>
      </c>
      <c r="D20" t="s">
        <v>622</v>
      </c>
      <c r="L20" t="s">
        <v>648</v>
      </c>
    </row>
    <row r="21" spans="1:12" x14ac:dyDescent="0.25">
      <c r="A21" t="s">
        <v>746</v>
      </c>
      <c r="D21" t="s">
        <v>661</v>
      </c>
      <c r="L21" t="s">
        <v>649</v>
      </c>
    </row>
    <row r="22" spans="1:12" x14ac:dyDescent="0.25">
      <c r="A22" t="s">
        <v>747</v>
      </c>
      <c r="D22" t="s">
        <v>662</v>
      </c>
    </row>
    <row r="23" spans="1:12" x14ac:dyDescent="0.25">
      <c r="A23" t="s">
        <v>748</v>
      </c>
      <c r="D23" t="s">
        <v>620</v>
      </c>
    </row>
    <row r="24" spans="1:12" x14ac:dyDescent="0.25">
      <c r="A24" t="s">
        <v>749</v>
      </c>
      <c r="D24" t="s">
        <v>621</v>
      </c>
      <c r="H24" t="s">
        <v>627</v>
      </c>
    </row>
    <row r="25" spans="1:12" x14ac:dyDescent="0.25">
      <c r="D25" t="s">
        <v>663</v>
      </c>
      <c r="H25" t="s">
        <v>656</v>
      </c>
      <c r="L25" t="s">
        <v>651</v>
      </c>
    </row>
    <row r="26" spans="1:12" x14ac:dyDescent="0.25">
      <c r="D26" t="s">
        <v>664</v>
      </c>
      <c r="H26" t="s">
        <v>657</v>
      </c>
      <c r="L26" t="s">
        <v>652</v>
      </c>
    </row>
    <row r="27" spans="1:12" x14ac:dyDescent="0.25">
      <c r="D27" t="s">
        <v>665</v>
      </c>
      <c r="H27" t="s">
        <v>658</v>
      </c>
      <c r="L27" t="s">
        <v>653</v>
      </c>
    </row>
    <row r="28" spans="1:12" x14ac:dyDescent="0.25">
      <c r="H28" t="s">
        <v>659</v>
      </c>
      <c r="L28" t="s">
        <v>654</v>
      </c>
    </row>
    <row r="29" spans="1:12" x14ac:dyDescent="0.25">
      <c r="L29" t="s">
        <v>655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658900-7144-46EC-B49A-AA0A42EBA70C}">
  <dimension ref="A1:D162"/>
  <sheetViews>
    <sheetView workbookViewId="0">
      <selection activeCell="E60" sqref="E60"/>
    </sheetView>
  </sheetViews>
  <sheetFormatPr baseColWidth="10" defaultColWidth="9.140625" defaultRowHeight="15" x14ac:dyDescent="0.25"/>
  <cols>
    <col min="2" max="2" width="15.140625" bestFit="1" customWidth="1"/>
    <col min="3" max="3" width="9.85546875" bestFit="1" customWidth="1"/>
    <col min="4" max="4" width="14.85546875" bestFit="1" customWidth="1"/>
  </cols>
  <sheetData>
    <row r="1" spans="1:4" x14ac:dyDescent="0.25">
      <c r="A1" t="s">
        <v>1</v>
      </c>
      <c r="B1" t="s">
        <v>99</v>
      </c>
      <c r="C1" t="s">
        <v>100</v>
      </c>
      <c r="D1" t="s">
        <v>150</v>
      </c>
    </row>
    <row r="2" spans="1:4" x14ac:dyDescent="0.25">
      <c r="A2">
        <v>40</v>
      </c>
      <c r="B2" t="s">
        <v>3</v>
      </c>
      <c r="C2">
        <v>1</v>
      </c>
      <c r="D2" s="3" t="s">
        <v>151</v>
      </c>
    </row>
    <row r="3" spans="1:4" x14ac:dyDescent="0.25">
      <c r="A3">
        <v>41</v>
      </c>
      <c r="B3" t="s">
        <v>3</v>
      </c>
      <c r="C3">
        <v>1</v>
      </c>
      <c r="D3" s="3" t="s">
        <v>151</v>
      </c>
    </row>
    <row r="4" spans="1:4" x14ac:dyDescent="0.25">
      <c r="A4">
        <v>42</v>
      </c>
      <c r="B4" t="s">
        <v>3</v>
      </c>
      <c r="C4">
        <v>1</v>
      </c>
      <c r="D4" s="3" t="s">
        <v>151</v>
      </c>
    </row>
    <row r="5" spans="1:4" x14ac:dyDescent="0.25">
      <c r="A5">
        <v>43</v>
      </c>
      <c r="B5" t="s">
        <v>3</v>
      </c>
      <c r="C5">
        <v>1</v>
      </c>
      <c r="D5" s="3" t="s">
        <v>151</v>
      </c>
    </row>
    <row r="6" spans="1:4" x14ac:dyDescent="0.25">
      <c r="A6">
        <v>44</v>
      </c>
      <c r="B6" t="s">
        <v>3</v>
      </c>
      <c r="C6">
        <v>1</v>
      </c>
      <c r="D6" s="3" t="s">
        <v>151</v>
      </c>
    </row>
    <row r="7" spans="1:4" x14ac:dyDescent="0.25">
      <c r="A7">
        <v>45</v>
      </c>
      <c r="B7" t="s">
        <v>3</v>
      </c>
      <c r="C7">
        <v>1</v>
      </c>
      <c r="D7" s="3" t="s">
        <v>151</v>
      </c>
    </row>
    <row r="8" spans="1:4" x14ac:dyDescent="0.25">
      <c r="A8">
        <v>46</v>
      </c>
      <c r="B8" t="s">
        <v>3</v>
      </c>
      <c r="C8">
        <v>1</v>
      </c>
      <c r="D8" s="3" t="s">
        <v>151</v>
      </c>
    </row>
    <row r="9" spans="1:4" x14ac:dyDescent="0.25">
      <c r="A9">
        <v>47</v>
      </c>
      <c r="B9" t="s">
        <v>3</v>
      </c>
      <c r="C9">
        <v>1</v>
      </c>
      <c r="D9" s="3" t="s">
        <v>151</v>
      </c>
    </row>
    <row r="10" spans="1:4" x14ac:dyDescent="0.25">
      <c r="A10">
        <v>48</v>
      </c>
      <c r="B10" t="s">
        <v>3</v>
      </c>
      <c r="C10">
        <v>1</v>
      </c>
      <c r="D10" s="3" t="s">
        <v>151</v>
      </c>
    </row>
    <row r="11" spans="1:4" x14ac:dyDescent="0.25">
      <c r="A11">
        <v>49</v>
      </c>
      <c r="B11" t="s">
        <v>3</v>
      </c>
      <c r="C11">
        <v>1</v>
      </c>
      <c r="D11" s="3" t="s">
        <v>151</v>
      </c>
    </row>
    <row r="12" spans="1:4" x14ac:dyDescent="0.25">
      <c r="A12">
        <v>50</v>
      </c>
      <c r="B12" t="s">
        <v>3</v>
      </c>
      <c r="C12">
        <v>1</v>
      </c>
      <c r="D12" s="3" t="s">
        <v>151</v>
      </c>
    </row>
    <row r="13" spans="1:4" x14ac:dyDescent="0.25">
      <c r="A13">
        <v>51</v>
      </c>
      <c r="B13" t="s">
        <v>3</v>
      </c>
      <c r="C13">
        <v>1</v>
      </c>
      <c r="D13" s="3" t="s">
        <v>151</v>
      </c>
    </row>
    <row r="14" spans="1:4" x14ac:dyDescent="0.25">
      <c r="A14">
        <v>52</v>
      </c>
      <c r="B14" t="s">
        <v>3</v>
      </c>
      <c r="C14">
        <v>1</v>
      </c>
      <c r="D14" s="3" t="s">
        <v>151</v>
      </c>
    </row>
    <row r="15" spans="1:4" x14ac:dyDescent="0.25">
      <c r="A15">
        <v>53</v>
      </c>
      <c r="B15" t="s">
        <v>3</v>
      </c>
      <c r="C15">
        <v>1</v>
      </c>
      <c r="D15" s="3" t="s">
        <v>151</v>
      </c>
    </row>
    <row r="16" spans="1:4" x14ac:dyDescent="0.25">
      <c r="A16">
        <v>54</v>
      </c>
      <c r="B16" t="s">
        <v>3</v>
      </c>
      <c r="C16">
        <v>1</v>
      </c>
      <c r="D16" s="3" t="s">
        <v>151</v>
      </c>
    </row>
    <row r="17" spans="1:4" x14ac:dyDescent="0.25">
      <c r="A17">
        <v>55</v>
      </c>
      <c r="B17" t="s">
        <v>3</v>
      </c>
      <c r="C17">
        <v>1</v>
      </c>
      <c r="D17" s="3" t="s">
        <v>151</v>
      </c>
    </row>
    <row r="18" spans="1:4" x14ac:dyDescent="0.25">
      <c r="A18">
        <v>56</v>
      </c>
      <c r="B18" t="s">
        <v>3</v>
      </c>
      <c r="C18">
        <v>1</v>
      </c>
      <c r="D18" s="3" t="s">
        <v>151</v>
      </c>
    </row>
    <row r="19" spans="1:4" x14ac:dyDescent="0.25">
      <c r="A19">
        <v>57</v>
      </c>
      <c r="B19" t="s">
        <v>3</v>
      </c>
      <c r="C19">
        <v>1</v>
      </c>
      <c r="D19" s="3" t="s">
        <v>151</v>
      </c>
    </row>
    <row r="20" spans="1:4" x14ac:dyDescent="0.25">
      <c r="A20">
        <v>58</v>
      </c>
      <c r="B20" t="s">
        <v>3</v>
      </c>
      <c r="C20">
        <v>1</v>
      </c>
      <c r="D20" s="3" t="s">
        <v>151</v>
      </c>
    </row>
    <row r="21" spans="1:4" x14ac:dyDescent="0.25">
      <c r="A21">
        <v>59</v>
      </c>
      <c r="B21" t="s">
        <v>3</v>
      </c>
      <c r="C21">
        <v>1</v>
      </c>
      <c r="D21" s="3" t="s">
        <v>151</v>
      </c>
    </row>
    <row r="22" spans="1:4" x14ac:dyDescent="0.25">
      <c r="A22">
        <v>60</v>
      </c>
      <c r="B22" t="s">
        <v>3</v>
      </c>
      <c r="C22">
        <v>1</v>
      </c>
      <c r="D22" s="3" t="s">
        <v>151</v>
      </c>
    </row>
    <row r="23" spans="1:4" x14ac:dyDescent="0.25">
      <c r="A23">
        <v>61</v>
      </c>
      <c r="B23" t="s">
        <v>3</v>
      </c>
      <c r="C23">
        <v>1</v>
      </c>
      <c r="D23" s="3" t="s">
        <v>151</v>
      </c>
    </row>
    <row r="24" spans="1:4" x14ac:dyDescent="0.25">
      <c r="A24">
        <v>62</v>
      </c>
      <c r="B24" t="s">
        <v>3</v>
      </c>
      <c r="C24">
        <v>1</v>
      </c>
      <c r="D24" s="3" t="s">
        <v>151</v>
      </c>
    </row>
    <row r="25" spans="1:4" x14ac:dyDescent="0.25">
      <c r="A25">
        <v>63</v>
      </c>
      <c r="B25" t="s">
        <v>3</v>
      </c>
      <c r="C25">
        <v>1</v>
      </c>
      <c r="D25" s="3" t="s">
        <v>151</v>
      </c>
    </row>
    <row r="26" spans="1:4" x14ac:dyDescent="0.25">
      <c r="A26">
        <v>64</v>
      </c>
      <c r="B26" t="s">
        <v>3</v>
      </c>
      <c r="C26">
        <v>1</v>
      </c>
      <c r="D26" s="3" t="s">
        <v>151</v>
      </c>
    </row>
    <row r="27" spans="1:4" x14ac:dyDescent="0.25">
      <c r="A27">
        <v>65</v>
      </c>
      <c r="B27" t="s">
        <v>3</v>
      </c>
      <c r="C27">
        <v>1</v>
      </c>
      <c r="D27" s="3" t="s">
        <v>151</v>
      </c>
    </row>
    <row r="28" spans="1:4" x14ac:dyDescent="0.25">
      <c r="A28">
        <v>66</v>
      </c>
      <c r="B28" t="s">
        <v>3</v>
      </c>
      <c r="C28">
        <v>1</v>
      </c>
      <c r="D28" s="3" t="s">
        <v>151</v>
      </c>
    </row>
    <row r="29" spans="1:4" x14ac:dyDescent="0.25">
      <c r="A29">
        <v>67</v>
      </c>
      <c r="B29" t="s">
        <v>3</v>
      </c>
      <c r="C29">
        <v>1</v>
      </c>
      <c r="D29" s="3" t="s">
        <v>151</v>
      </c>
    </row>
    <row r="30" spans="1:4" x14ac:dyDescent="0.25">
      <c r="A30">
        <v>68</v>
      </c>
      <c r="B30" t="s">
        <v>3</v>
      </c>
      <c r="C30">
        <v>1</v>
      </c>
      <c r="D30" s="3" t="s">
        <v>151</v>
      </c>
    </row>
    <row r="31" spans="1:4" x14ac:dyDescent="0.25">
      <c r="A31">
        <v>69</v>
      </c>
      <c r="B31" t="s">
        <v>3</v>
      </c>
      <c r="C31">
        <v>1</v>
      </c>
      <c r="D31" s="3" t="s">
        <v>151</v>
      </c>
    </row>
    <row r="32" spans="1:4" x14ac:dyDescent="0.25">
      <c r="A32">
        <v>70</v>
      </c>
      <c r="B32" t="s">
        <v>3</v>
      </c>
      <c r="C32">
        <v>1</v>
      </c>
      <c r="D32" s="3" t="s">
        <v>151</v>
      </c>
    </row>
    <row r="33" spans="1:4" x14ac:dyDescent="0.25">
      <c r="A33">
        <v>71</v>
      </c>
      <c r="B33" t="s">
        <v>3</v>
      </c>
      <c r="C33">
        <v>1</v>
      </c>
      <c r="D33" s="3" t="s">
        <v>151</v>
      </c>
    </row>
    <row r="34" spans="1:4" x14ac:dyDescent="0.25">
      <c r="A34">
        <v>72</v>
      </c>
      <c r="B34" t="s">
        <v>3</v>
      </c>
      <c r="C34">
        <v>1</v>
      </c>
      <c r="D34" s="3" t="s">
        <v>151</v>
      </c>
    </row>
    <row r="35" spans="1:4" x14ac:dyDescent="0.25">
      <c r="A35">
        <v>73</v>
      </c>
      <c r="B35" t="s">
        <v>3</v>
      </c>
      <c r="C35">
        <v>1</v>
      </c>
      <c r="D35" s="3" t="s">
        <v>151</v>
      </c>
    </row>
    <row r="36" spans="1:4" x14ac:dyDescent="0.25">
      <c r="A36">
        <v>74</v>
      </c>
      <c r="B36" t="s">
        <v>3</v>
      </c>
      <c r="C36">
        <v>1</v>
      </c>
      <c r="D36" s="3" t="s">
        <v>151</v>
      </c>
    </row>
    <row r="37" spans="1:4" x14ac:dyDescent="0.25">
      <c r="A37">
        <v>75</v>
      </c>
      <c r="B37" t="s">
        <v>3</v>
      </c>
      <c r="C37">
        <v>1</v>
      </c>
      <c r="D37" s="3" t="s">
        <v>151</v>
      </c>
    </row>
    <row r="38" spans="1:4" x14ac:dyDescent="0.25">
      <c r="A38">
        <v>76</v>
      </c>
      <c r="B38" t="s">
        <v>4</v>
      </c>
      <c r="C38">
        <v>1</v>
      </c>
      <c r="D38" s="3" t="s">
        <v>151</v>
      </c>
    </row>
    <row r="39" spans="1:4" x14ac:dyDescent="0.25">
      <c r="A39">
        <v>77</v>
      </c>
      <c r="B39" t="s">
        <v>4</v>
      </c>
      <c r="C39">
        <v>1</v>
      </c>
      <c r="D39" s="3" t="s">
        <v>151</v>
      </c>
    </row>
    <row r="40" spans="1:4" x14ac:dyDescent="0.25">
      <c r="A40">
        <v>78</v>
      </c>
      <c r="B40" t="s">
        <v>4</v>
      </c>
      <c r="C40">
        <v>1</v>
      </c>
      <c r="D40" s="3" t="s">
        <v>151</v>
      </c>
    </row>
    <row r="41" spans="1:4" x14ac:dyDescent="0.25">
      <c r="A41">
        <v>79</v>
      </c>
      <c r="B41" t="s">
        <v>4</v>
      </c>
      <c r="C41">
        <v>1</v>
      </c>
      <c r="D41" s="3" t="s">
        <v>151</v>
      </c>
    </row>
    <row r="42" spans="1:4" x14ac:dyDescent="0.25">
      <c r="A42">
        <v>80</v>
      </c>
      <c r="B42" t="s">
        <v>4</v>
      </c>
      <c r="C42">
        <v>1</v>
      </c>
      <c r="D42" s="3" t="s">
        <v>151</v>
      </c>
    </row>
    <row r="43" spans="1:4" x14ac:dyDescent="0.25">
      <c r="A43">
        <v>81</v>
      </c>
      <c r="B43" t="s">
        <v>4</v>
      </c>
      <c r="C43">
        <v>1</v>
      </c>
      <c r="D43" s="3" t="s">
        <v>151</v>
      </c>
    </row>
    <row r="44" spans="1:4" x14ac:dyDescent="0.25">
      <c r="A44">
        <v>82</v>
      </c>
      <c r="B44" t="s">
        <v>4</v>
      </c>
      <c r="C44">
        <v>1</v>
      </c>
      <c r="D44" s="3" t="s">
        <v>151</v>
      </c>
    </row>
    <row r="45" spans="1:4" x14ac:dyDescent="0.25">
      <c r="A45">
        <v>83</v>
      </c>
      <c r="B45" t="s">
        <v>4</v>
      </c>
      <c r="C45">
        <v>1</v>
      </c>
      <c r="D45" s="3" t="s">
        <v>151</v>
      </c>
    </row>
    <row r="46" spans="1:4" x14ac:dyDescent="0.25">
      <c r="A46">
        <v>84</v>
      </c>
      <c r="B46" t="s">
        <v>4</v>
      </c>
      <c r="C46">
        <v>1</v>
      </c>
      <c r="D46" s="3" t="s">
        <v>151</v>
      </c>
    </row>
    <row r="47" spans="1:4" x14ac:dyDescent="0.25">
      <c r="A47">
        <v>85</v>
      </c>
      <c r="B47" t="s">
        <v>4</v>
      </c>
      <c r="C47">
        <v>1</v>
      </c>
      <c r="D47" s="3" t="s">
        <v>151</v>
      </c>
    </row>
    <row r="48" spans="1:4" x14ac:dyDescent="0.25">
      <c r="A48">
        <v>86</v>
      </c>
      <c r="B48" t="s">
        <v>4</v>
      </c>
      <c r="C48">
        <v>1</v>
      </c>
      <c r="D48" s="3" t="s">
        <v>151</v>
      </c>
    </row>
    <row r="49" spans="1:4" x14ac:dyDescent="0.25">
      <c r="A49">
        <v>87</v>
      </c>
      <c r="B49" t="s">
        <v>4</v>
      </c>
      <c r="C49">
        <v>1</v>
      </c>
      <c r="D49" s="3" t="s">
        <v>151</v>
      </c>
    </row>
    <row r="50" spans="1:4" x14ac:dyDescent="0.25">
      <c r="A50">
        <v>88</v>
      </c>
      <c r="B50" t="s">
        <v>4</v>
      </c>
      <c r="C50">
        <v>1</v>
      </c>
      <c r="D50" s="3" t="s">
        <v>151</v>
      </c>
    </row>
    <row r="51" spans="1:4" x14ac:dyDescent="0.25">
      <c r="A51">
        <v>89</v>
      </c>
      <c r="B51" t="s">
        <v>4</v>
      </c>
      <c r="C51">
        <v>1</v>
      </c>
      <c r="D51" s="3" t="s">
        <v>151</v>
      </c>
    </row>
    <row r="52" spans="1:4" x14ac:dyDescent="0.25">
      <c r="A52">
        <v>90</v>
      </c>
      <c r="B52" t="s">
        <v>4</v>
      </c>
      <c r="C52">
        <v>1</v>
      </c>
      <c r="D52" s="3" t="s">
        <v>151</v>
      </c>
    </row>
    <row r="53" spans="1:4" x14ac:dyDescent="0.25">
      <c r="A53">
        <v>91</v>
      </c>
      <c r="B53" t="s">
        <v>5</v>
      </c>
      <c r="C53">
        <v>1</v>
      </c>
      <c r="D53" s="3" t="s">
        <v>151</v>
      </c>
    </row>
    <row r="54" spans="1:4" x14ac:dyDescent="0.25">
      <c r="A54">
        <v>92</v>
      </c>
      <c r="B54" t="s">
        <v>5</v>
      </c>
      <c r="C54">
        <v>1</v>
      </c>
      <c r="D54" s="3" t="s">
        <v>151</v>
      </c>
    </row>
    <row r="55" spans="1:4" x14ac:dyDescent="0.25">
      <c r="A55">
        <v>93</v>
      </c>
      <c r="B55" t="s">
        <v>5</v>
      </c>
      <c r="C55">
        <v>1</v>
      </c>
      <c r="D55" s="3" t="s">
        <v>151</v>
      </c>
    </row>
    <row r="56" spans="1:4" x14ac:dyDescent="0.25">
      <c r="A56">
        <v>94</v>
      </c>
      <c r="B56" t="s">
        <v>5</v>
      </c>
      <c r="C56">
        <v>1</v>
      </c>
      <c r="D56" s="3" t="s">
        <v>151</v>
      </c>
    </row>
    <row r="57" spans="1:4" x14ac:dyDescent="0.25">
      <c r="A57">
        <v>95</v>
      </c>
      <c r="B57" t="s">
        <v>5</v>
      </c>
      <c r="C57">
        <v>1</v>
      </c>
      <c r="D57" s="3" t="s">
        <v>151</v>
      </c>
    </row>
    <row r="58" spans="1:4" x14ac:dyDescent="0.25">
      <c r="A58">
        <v>96</v>
      </c>
      <c r="B58" t="s">
        <v>5</v>
      </c>
      <c r="C58">
        <v>1</v>
      </c>
      <c r="D58" s="3" t="s">
        <v>151</v>
      </c>
    </row>
    <row r="59" spans="1:4" x14ac:dyDescent="0.25">
      <c r="A59">
        <v>97</v>
      </c>
      <c r="B59" t="s">
        <v>5</v>
      </c>
      <c r="C59">
        <v>1</v>
      </c>
      <c r="D59" s="3" t="s">
        <v>151</v>
      </c>
    </row>
    <row r="60" spans="1:4" x14ac:dyDescent="0.25">
      <c r="A60">
        <v>98</v>
      </c>
      <c r="B60" t="s">
        <v>5</v>
      </c>
      <c r="C60">
        <v>1</v>
      </c>
      <c r="D60" s="3" t="s">
        <v>151</v>
      </c>
    </row>
    <row r="61" spans="1:4" x14ac:dyDescent="0.25">
      <c r="A61">
        <v>99</v>
      </c>
      <c r="B61" t="s">
        <v>5</v>
      </c>
      <c r="C61">
        <v>1</v>
      </c>
      <c r="D61" s="3" t="s">
        <v>151</v>
      </c>
    </row>
    <row r="62" spans="1:4" x14ac:dyDescent="0.25">
      <c r="A62">
        <v>100</v>
      </c>
      <c r="B62" t="s">
        <v>6</v>
      </c>
      <c r="C62">
        <v>1</v>
      </c>
      <c r="D62" s="3" t="s">
        <v>151</v>
      </c>
    </row>
    <row r="63" spans="1:4" x14ac:dyDescent="0.25">
      <c r="A63">
        <v>101</v>
      </c>
      <c r="B63" t="s">
        <v>7</v>
      </c>
      <c r="C63">
        <v>2</v>
      </c>
      <c r="D63">
        <v>1</v>
      </c>
    </row>
    <row r="64" spans="1:4" x14ac:dyDescent="0.25">
      <c r="A64">
        <v>102</v>
      </c>
      <c r="B64" t="s">
        <v>7</v>
      </c>
      <c r="C64">
        <v>2</v>
      </c>
      <c r="D64">
        <v>1</v>
      </c>
    </row>
    <row r="65" spans="1:4" x14ac:dyDescent="0.25">
      <c r="A65">
        <v>103</v>
      </c>
      <c r="B65" t="s">
        <v>8</v>
      </c>
      <c r="C65">
        <v>2</v>
      </c>
      <c r="D65">
        <v>2</v>
      </c>
    </row>
    <row r="66" spans="1:4" x14ac:dyDescent="0.25">
      <c r="A66">
        <v>104</v>
      </c>
      <c r="B66" t="s">
        <v>8</v>
      </c>
      <c r="C66">
        <v>2</v>
      </c>
      <c r="D66">
        <v>2</v>
      </c>
    </row>
    <row r="67" spans="1:4" x14ac:dyDescent="0.25">
      <c r="A67">
        <v>105</v>
      </c>
      <c r="B67" t="s">
        <v>9</v>
      </c>
      <c r="C67">
        <v>2</v>
      </c>
      <c r="D67">
        <v>4</v>
      </c>
    </row>
    <row r="68" spans="1:4" x14ac:dyDescent="0.25">
      <c r="A68">
        <v>106</v>
      </c>
      <c r="B68" t="s">
        <v>9</v>
      </c>
      <c r="C68">
        <v>2</v>
      </c>
      <c r="D68">
        <v>4</v>
      </c>
    </row>
    <row r="69" spans="1:4" x14ac:dyDescent="0.25">
      <c r="A69">
        <v>107</v>
      </c>
      <c r="B69" t="s">
        <v>10</v>
      </c>
      <c r="C69">
        <v>2</v>
      </c>
      <c r="D69">
        <v>6</v>
      </c>
    </row>
    <row r="70" spans="1:4" x14ac:dyDescent="0.25">
      <c r="A70">
        <v>108</v>
      </c>
      <c r="B70" t="s">
        <v>10</v>
      </c>
      <c r="C70">
        <v>2</v>
      </c>
      <c r="D70">
        <v>6</v>
      </c>
    </row>
    <row r="71" spans="1:4" x14ac:dyDescent="0.25">
      <c r="A71">
        <v>109</v>
      </c>
      <c r="B71" t="s">
        <v>11</v>
      </c>
      <c r="C71">
        <v>2</v>
      </c>
      <c r="D71">
        <v>8</v>
      </c>
    </row>
    <row r="72" spans="1:4" x14ac:dyDescent="0.25">
      <c r="A72">
        <v>110</v>
      </c>
      <c r="B72" t="s">
        <v>11</v>
      </c>
      <c r="C72">
        <v>2</v>
      </c>
      <c r="D72">
        <v>8</v>
      </c>
    </row>
    <row r="73" spans="1:4" x14ac:dyDescent="0.25">
      <c r="A73">
        <v>111</v>
      </c>
      <c r="B73" t="s">
        <v>12</v>
      </c>
      <c r="C73">
        <v>2</v>
      </c>
      <c r="D73">
        <v>10</v>
      </c>
    </row>
    <row r="74" spans="1:4" x14ac:dyDescent="0.25">
      <c r="A74">
        <v>112</v>
      </c>
      <c r="B74" t="s">
        <v>12</v>
      </c>
      <c r="C74">
        <v>2</v>
      </c>
      <c r="D74">
        <v>10</v>
      </c>
    </row>
    <row r="75" spans="1:4" x14ac:dyDescent="0.25">
      <c r="A75">
        <v>113</v>
      </c>
      <c r="B75" t="s">
        <v>13</v>
      </c>
      <c r="C75">
        <v>2</v>
      </c>
      <c r="D75">
        <v>12</v>
      </c>
    </row>
    <row r="76" spans="1:4" x14ac:dyDescent="0.25">
      <c r="A76">
        <v>114</v>
      </c>
      <c r="B76" t="s">
        <v>13</v>
      </c>
      <c r="C76">
        <v>2</v>
      </c>
      <c r="D76">
        <v>12</v>
      </c>
    </row>
    <row r="77" spans="1:4" x14ac:dyDescent="0.25">
      <c r="A77">
        <v>115</v>
      </c>
      <c r="B77" t="s">
        <v>14</v>
      </c>
      <c r="C77">
        <v>2</v>
      </c>
      <c r="D77">
        <v>14</v>
      </c>
    </row>
    <row r="78" spans="1:4" x14ac:dyDescent="0.25">
      <c r="A78">
        <v>116</v>
      </c>
      <c r="B78" t="s">
        <v>14</v>
      </c>
      <c r="C78">
        <v>2</v>
      </c>
      <c r="D78">
        <v>14</v>
      </c>
    </row>
    <row r="79" spans="1:4" x14ac:dyDescent="0.25">
      <c r="A79">
        <v>117</v>
      </c>
      <c r="B79" t="s">
        <v>15</v>
      </c>
      <c r="C79">
        <v>2</v>
      </c>
      <c r="D79">
        <v>16</v>
      </c>
    </row>
    <row r="80" spans="1:4" x14ac:dyDescent="0.25">
      <c r="A80">
        <v>118</v>
      </c>
      <c r="B80" t="s">
        <v>16</v>
      </c>
      <c r="C80">
        <v>2</v>
      </c>
      <c r="D80">
        <v>18</v>
      </c>
    </row>
    <row r="81" spans="1:4" x14ac:dyDescent="0.25">
      <c r="A81">
        <v>119</v>
      </c>
      <c r="B81" t="s">
        <v>17</v>
      </c>
      <c r="C81">
        <v>2</v>
      </c>
      <c r="D81">
        <v>19</v>
      </c>
    </row>
    <row r="82" spans="1:4" x14ac:dyDescent="0.25">
      <c r="A82">
        <v>120</v>
      </c>
      <c r="B82" t="s">
        <v>18</v>
      </c>
      <c r="C82">
        <v>2</v>
      </c>
      <c r="D82" s="3" t="s">
        <v>151</v>
      </c>
    </row>
    <row r="83" spans="1:4" x14ac:dyDescent="0.25">
      <c r="A83">
        <v>121</v>
      </c>
      <c r="B83" t="s">
        <v>19</v>
      </c>
      <c r="C83">
        <v>5</v>
      </c>
      <c r="D83" s="3" t="s">
        <v>151</v>
      </c>
    </row>
    <row r="84" spans="1:4" x14ac:dyDescent="0.25">
      <c r="A84">
        <v>122</v>
      </c>
      <c r="B84" t="s">
        <v>20</v>
      </c>
      <c r="C84">
        <v>5</v>
      </c>
      <c r="D84" s="3" t="s">
        <v>151</v>
      </c>
    </row>
    <row r="85" spans="1:4" x14ac:dyDescent="0.25">
      <c r="A85">
        <v>123</v>
      </c>
      <c r="B85" t="s">
        <v>21</v>
      </c>
      <c r="C85">
        <v>5</v>
      </c>
      <c r="D85" s="3" t="s">
        <v>151</v>
      </c>
    </row>
    <row r="86" spans="1:4" x14ac:dyDescent="0.25">
      <c r="A86">
        <v>124</v>
      </c>
      <c r="B86" t="s">
        <v>22</v>
      </c>
      <c r="C86">
        <v>5</v>
      </c>
      <c r="D86" s="3" t="s">
        <v>151</v>
      </c>
    </row>
    <row r="87" spans="1:4" x14ac:dyDescent="0.25">
      <c r="A87">
        <v>125</v>
      </c>
      <c r="B87" t="s">
        <v>23</v>
      </c>
      <c r="C87">
        <v>5</v>
      </c>
      <c r="D87" s="3" t="s">
        <v>151</v>
      </c>
    </row>
    <row r="88" spans="1:4" x14ac:dyDescent="0.25">
      <c r="A88">
        <v>126</v>
      </c>
      <c r="B88" t="s">
        <v>24</v>
      </c>
      <c r="C88">
        <v>5</v>
      </c>
      <c r="D88" s="3" t="s">
        <v>151</v>
      </c>
    </row>
    <row r="89" spans="1:4" x14ac:dyDescent="0.25">
      <c r="A89">
        <v>127</v>
      </c>
      <c r="B89" t="s">
        <v>25</v>
      </c>
      <c r="C89">
        <v>5</v>
      </c>
      <c r="D89" s="3" t="s">
        <v>151</v>
      </c>
    </row>
    <row r="90" spans="1:4" x14ac:dyDescent="0.25">
      <c r="A90">
        <v>128</v>
      </c>
      <c r="B90" t="s">
        <v>26</v>
      </c>
      <c r="C90">
        <v>5</v>
      </c>
      <c r="D90" s="3" t="s">
        <v>151</v>
      </c>
    </row>
    <row r="91" spans="1:4" x14ac:dyDescent="0.25">
      <c r="A91">
        <v>129</v>
      </c>
      <c r="B91" t="s">
        <v>27</v>
      </c>
      <c r="C91">
        <v>5</v>
      </c>
      <c r="D91" s="3" t="s">
        <v>151</v>
      </c>
    </row>
    <row r="92" spans="1:4" x14ac:dyDescent="0.25">
      <c r="A92">
        <v>130</v>
      </c>
      <c r="B92" t="s">
        <v>28</v>
      </c>
      <c r="C92">
        <v>5</v>
      </c>
      <c r="D92" s="3" t="s">
        <v>151</v>
      </c>
    </row>
    <row r="93" spans="1:4" x14ac:dyDescent="0.25">
      <c r="A93">
        <v>131</v>
      </c>
      <c r="B93" t="s">
        <v>29</v>
      </c>
      <c r="C93">
        <v>5</v>
      </c>
      <c r="D93" s="3" t="s">
        <v>151</v>
      </c>
    </row>
    <row r="94" spans="1:4" x14ac:dyDescent="0.25">
      <c r="A94">
        <v>132</v>
      </c>
      <c r="B94" t="s">
        <v>30</v>
      </c>
      <c r="C94">
        <v>5</v>
      </c>
      <c r="D94" s="3" t="s">
        <v>151</v>
      </c>
    </row>
    <row r="95" spans="1:4" x14ac:dyDescent="0.25">
      <c r="A95">
        <v>133</v>
      </c>
      <c r="B95" t="s">
        <v>31</v>
      </c>
      <c r="C95">
        <v>5</v>
      </c>
      <c r="D95" s="3" t="s">
        <v>151</v>
      </c>
    </row>
    <row r="96" spans="1:4" x14ac:dyDescent="0.25">
      <c r="A96">
        <v>134</v>
      </c>
      <c r="B96" t="s">
        <v>32</v>
      </c>
      <c r="C96">
        <v>5</v>
      </c>
      <c r="D96" s="3" t="s">
        <v>151</v>
      </c>
    </row>
    <row r="97" spans="1:4" x14ac:dyDescent="0.25">
      <c r="A97">
        <v>135</v>
      </c>
      <c r="B97" t="s">
        <v>33</v>
      </c>
      <c r="C97">
        <v>5</v>
      </c>
      <c r="D97" s="3" t="s">
        <v>151</v>
      </c>
    </row>
    <row r="98" spans="1:4" x14ac:dyDescent="0.25">
      <c r="A98">
        <v>136</v>
      </c>
      <c r="B98" t="s">
        <v>34</v>
      </c>
      <c r="C98">
        <v>5</v>
      </c>
      <c r="D98" s="3" t="s">
        <v>151</v>
      </c>
    </row>
    <row r="99" spans="1:4" x14ac:dyDescent="0.25">
      <c r="A99">
        <v>137</v>
      </c>
      <c r="B99" t="s">
        <v>35</v>
      </c>
      <c r="C99">
        <v>5</v>
      </c>
      <c r="D99" s="3" t="s">
        <v>151</v>
      </c>
    </row>
    <row r="100" spans="1:4" x14ac:dyDescent="0.25">
      <c r="A100">
        <v>138</v>
      </c>
      <c r="B100" t="s">
        <v>36</v>
      </c>
      <c r="C100">
        <v>5</v>
      </c>
      <c r="D100" s="3" t="s">
        <v>151</v>
      </c>
    </row>
    <row r="101" spans="1:4" x14ac:dyDescent="0.25">
      <c r="A101">
        <v>139</v>
      </c>
      <c r="B101" t="s">
        <v>37</v>
      </c>
      <c r="C101">
        <v>5</v>
      </c>
      <c r="D101" s="3" t="s">
        <v>151</v>
      </c>
    </row>
    <row r="102" spans="1:4" x14ac:dyDescent="0.25">
      <c r="A102">
        <v>140</v>
      </c>
      <c r="B102" t="s">
        <v>38</v>
      </c>
      <c r="C102">
        <v>5</v>
      </c>
      <c r="D102" s="3" t="s">
        <v>151</v>
      </c>
    </row>
    <row r="103" spans="1:4" x14ac:dyDescent="0.25">
      <c r="A103">
        <v>141</v>
      </c>
      <c r="B103" t="s">
        <v>39</v>
      </c>
      <c r="C103">
        <v>10</v>
      </c>
      <c r="D103" s="3" t="s">
        <v>151</v>
      </c>
    </row>
    <row r="104" spans="1:4" x14ac:dyDescent="0.25">
      <c r="A104">
        <v>142</v>
      </c>
      <c r="B104" t="s">
        <v>40</v>
      </c>
      <c r="C104">
        <v>10</v>
      </c>
      <c r="D104" s="3" t="s">
        <v>151</v>
      </c>
    </row>
    <row r="105" spans="1:4" x14ac:dyDescent="0.25">
      <c r="A105">
        <v>143</v>
      </c>
      <c r="B105" t="s">
        <v>41</v>
      </c>
      <c r="C105">
        <v>10</v>
      </c>
      <c r="D105" s="3" t="s">
        <v>151</v>
      </c>
    </row>
    <row r="106" spans="1:4" x14ac:dyDescent="0.25">
      <c r="A106">
        <v>144</v>
      </c>
      <c r="B106" t="s">
        <v>42</v>
      </c>
      <c r="C106">
        <v>10</v>
      </c>
      <c r="D106" s="3" t="s">
        <v>151</v>
      </c>
    </row>
    <row r="107" spans="1:4" x14ac:dyDescent="0.25">
      <c r="A107">
        <v>145</v>
      </c>
      <c r="B107" t="s">
        <v>43</v>
      </c>
      <c r="C107">
        <v>10</v>
      </c>
      <c r="D107" s="3" t="s">
        <v>151</v>
      </c>
    </row>
    <row r="108" spans="1:4" x14ac:dyDescent="0.25">
      <c r="A108">
        <v>146</v>
      </c>
      <c r="B108" t="s">
        <v>44</v>
      </c>
      <c r="C108">
        <v>10</v>
      </c>
      <c r="D108" s="3" t="s">
        <v>151</v>
      </c>
    </row>
    <row r="109" spans="1:4" x14ac:dyDescent="0.25">
      <c r="A109">
        <v>147</v>
      </c>
      <c r="B109" t="s">
        <v>45</v>
      </c>
      <c r="C109">
        <v>10</v>
      </c>
      <c r="D109" s="3" t="s">
        <v>151</v>
      </c>
    </row>
    <row r="110" spans="1:4" x14ac:dyDescent="0.25">
      <c r="A110">
        <v>148</v>
      </c>
      <c r="B110" t="s">
        <v>46</v>
      </c>
      <c r="C110">
        <v>10</v>
      </c>
      <c r="D110" s="3" t="s">
        <v>151</v>
      </c>
    </row>
    <row r="111" spans="1:4" x14ac:dyDescent="0.25">
      <c r="A111">
        <v>149</v>
      </c>
      <c r="B111" t="s">
        <v>47</v>
      </c>
      <c r="C111">
        <v>10</v>
      </c>
      <c r="D111" s="3" t="s">
        <v>151</v>
      </c>
    </row>
    <row r="112" spans="1:4" x14ac:dyDescent="0.25">
      <c r="A112">
        <v>150</v>
      </c>
      <c r="B112" t="s">
        <v>48</v>
      </c>
      <c r="C112">
        <v>10</v>
      </c>
      <c r="D112" s="3" t="s">
        <v>151</v>
      </c>
    </row>
    <row r="113" spans="1:4" x14ac:dyDescent="0.25">
      <c r="A113">
        <v>151</v>
      </c>
      <c r="B113" t="s">
        <v>49</v>
      </c>
      <c r="C113">
        <v>10</v>
      </c>
      <c r="D113" s="3" t="s">
        <v>151</v>
      </c>
    </row>
    <row r="114" spans="1:4" x14ac:dyDescent="0.25">
      <c r="A114">
        <v>152</v>
      </c>
      <c r="B114" t="s">
        <v>50</v>
      </c>
      <c r="C114">
        <v>10</v>
      </c>
      <c r="D114" s="3" t="s">
        <v>151</v>
      </c>
    </row>
    <row r="115" spans="1:4" x14ac:dyDescent="0.25">
      <c r="A115">
        <v>153</v>
      </c>
      <c r="B115" t="s">
        <v>51</v>
      </c>
      <c r="C115">
        <v>10</v>
      </c>
      <c r="D115" s="3" t="s">
        <v>151</v>
      </c>
    </row>
    <row r="116" spans="1:4" x14ac:dyDescent="0.25">
      <c r="A116">
        <v>154</v>
      </c>
      <c r="B116" t="s">
        <v>52</v>
      </c>
      <c r="C116">
        <v>10</v>
      </c>
      <c r="D116" s="3" t="s">
        <v>151</v>
      </c>
    </row>
    <row r="117" spans="1:4" x14ac:dyDescent="0.25">
      <c r="A117">
        <v>155</v>
      </c>
      <c r="B117" t="s">
        <v>53</v>
      </c>
      <c r="C117">
        <v>10</v>
      </c>
      <c r="D117" s="3" t="s">
        <v>151</v>
      </c>
    </row>
    <row r="118" spans="1:4" x14ac:dyDescent="0.25">
      <c r="A118">
        <v>156</v>
      </c>
      <c r="B118" t="s">
        <v>54</v>
      </c>
      <c r="C118">
        <v>10</v>
      </c>
      <c r="D118" s="3" t="s">
        <v>151</v>
      </c>
    </row>
    <row r="119" spans="1:4" x14ac:dyDescent="0.25">
      <c r="A119">
        <v>157</v>
      </c>
      <c r="B119" t="s">
        <v>55</v>
      </c>
      <c r="C119">
        <v>10</v>
      </c>
      <c r="D119" s="3" t="s">
        <v>151</v>
      </c>
    </row>
    <row r="120" spans="1:4" x14ac:dyDescent="0.25">
      <c r="A120">
        <v>158</v>
      </c>
      <c r="B120" t="s">
        <v>56</v>
      </c>
      <c r="C120">
        <v>10</v>
      </c>
      <c r="D120" s="3" t="s">
        <v>151</v>
      </c>
    </row>
    <row r="121" spans="1:4" x14ac:dyDescent="0.25">
      <c r="A121">
        <v>159</v>
      </c>
      <c r="B121" t="s">
        <v>57</v>
      </c>
      <c r="C121">
        <v>10</v>
      </c>
      <c r="D121" s="3" t="s">
        <v>151</v>
      </c>
    </row>
    <row r="122" spans="1:4" x14ac:dyDescent="0.25">
      <c r="A122">
        <v>160</v>
      </c>
      <c r="B122" t="s">
        <v>58</v>
      </c>
      <c r="C122">
        <v>10</v>
      </c>
      <c r="D122" s="3" t="s">
        <v>151</v>
      </c>
    </row>
    <row r="123" spans="1:4" x14ac:dyDescent="0.25">
      <c r="A123">
        <v>161</v>
      </c>
      <c r="B123" t="s">
        <v>59</v>
      </c>
      <c r="C123">
        <v>20</v>
      </c>
      <c r="D123" s="3" t="s">
        <v>151</v>
      </c>
    </row>
    <row r="124" spans="1:4" x14ac:dyDescent="0.25">
      <c r="A124">
        <v>162</v>
      </c>
      <c r="B124" t="s">
        <v>60</v>
      </c>
      <c r="C124">
        <v>20</v>
      </c>
      <c r="D124" s="3" t="s">
        <v>151</v>
      </c>
    </row>
    <row r="125" spans="1:4" x14ac:dyDescent="0.25">
      <c r="A125">
        <v>163</v>
      </c>
      <c r="B125" t="s">
        <v>61</v>
      </c>
      <c r="C125">
        <v>20</v>
      </c>
      <c r="D125" s="3" t="s">
        <v>151</v>
      </c>
    </row>
    <row r="126" spans="1:4" x14ac:dyDescent="0.25">
      <c r="A126">
        <v>164</v>
      </c>
      <c r="B126" t="s">
        <v>62</v>
      </c>
      <c r="C126">
        <v>20</v>
      </c>
      <c r="D126" s="3" t="s">
        <v>151</v>
      </c>
    </row>
    <row r="127" spans="1:4" x14ac:dyDescent="0.25">
      <c r="A127">
        <v>165</v>
      </c>
      <c r="B127" t="s">
        <v>63</v>
      </c>
      <c r="C127">
        <v>20</v>
      </c>
      <c r="D127" s="3" t="s">
        <v>151</v>
      </c>
    </row>
    <row r="128" spans="1:4" x14ac:dyDescent="0.25">
      <c r="A128">
        <v>166</v>
      </c>
      <c r="B128" t="s">
        <v>64</v>
      </c>
      <c r="C128">
        <v>20</v>
      </c>
      <c r="D128" s="3" t="s">
        <v>151</v>
      </c>
    </row>
    <row r="129" spans="1:4" x14ac:dyDescent="0.25">
      <c r="A129">
        <v>167</v>
      </c>
      <c r="B129" t="s">
        <v>65</v>
      </c>
      <c r="C129">
        <v>20</v>
      </c>
      <c r="D129" s="3" t="s">
        <v>151</v>
      </c>
    </row>
    <row r="130" spans="1:4" x14ac:dyDescent="0.25">
      <c r="A130">
        <v>168</v>
      </c>
      <c r="B130" t="s">
        <v>66</v>
      </c>
      <c r="C130">
        <v>20</v>
      </c>
      <c r="D130" s="3" t="s">
        <v>151</v>
      </c>
    </row>
    <row r="131" spans="1:4" x14ac:dyDescent="0.25">
      <c r="A131">
        <v>169</v>
      </c>
      <c r="B131" t="s">
        <v>67</v>
      </c>
      <c r="C131">
        <v>20</v>
      </c>
      <c r="D131" s="3" t="s">
        <v>151</v>
      </c>
    </row>
    <row r="132" spans="1:4" x14ac:dyDescent="0.25">
      <c r="A132">
        <v>170</v>
      </c>
      <c r="B132" t="s">
        <v>68</v>
      </c>
      <c r="C132">
        <v>20</v>
      </c>
      <c r="D132" s="3" t="s">
        <v>151</v>
      </c>
    </row>
    <row r="133" spans="1:4" x14ac:dyDescent="0.25">
      <c r="A133">
        <v>171</v>
      </c>
      <c r="B133" t="s">
        <v>69</v>
      </c>
      <c r="C133">
        <v>20</v>
      </c>
      <c r="D133" s="3" t="s">
        <v>151</v>
      </c>
    </row>
    <row r="134" spans="1:4" x14ac:dyDescent="0.25">
      <c r="A134">
        <v>172</v>
      </c>
      <c r="B134" t="s">
        <v>70</v>
      </c>
      <c r="C134">
        <v>20</v>
      </c>
      <c r="D134" s="3" t="s">
        <v>151</v>
      </c>
    </row>
    <row r="135" spans="1:4" x14ac:dyDescent="0.25">
      <c r="A135">
        <v>173</v>
      </c>
      <c r="B135" t="s">
        <v>71</v>
      </c>
      <c r="C135">
        <v>20</v>
      </c>
      <c r="D135" s="3" t="s">
        <v>151</v>
      </c>
    </row>
    <row r="136" spans="1:4" x14ac:dyDescent="0.25">
      <c r="A136">
        <v>174</v>
      </c>
      <c r="B136" t="s">
        <v>72</v>
      </c>
      <c r="C136">
        <v>20</v>
      </c>
      <c r="D136" s="3" t="s">
        <v>151</v>
      </c>
    </row>
    <row r="137" spans="1:4" x14ac:dyDescent="0.25">
      <c r="A137">
        <v>175</v>
      </c>
      <c r="B137" t="s">
        <v>73</v>
      </c>
      <c r="C137">
        <v>20</v>
      </c>
      <c r="D137" s="3" t="s">
        <v>151</v>
      </c>
    </row>
    <row r="138" spans="1:4" x14ac:dyDescent="0.25">
      <c r="A138">
        <v>176</v>
      </c>
      <c r="B138" t="s">
        <v>74</v>
      </c>
      <c r="C138">
        <v>20</v>
      </c>
      <c r="D138" s="3" t="s">
        <v>151</v>
      </c>
    </row>
    <row r="139" spans="1:4" x14ac:dyDescent="0.25">
      <c r="A139">
        <v>177</v>
      </c>
      <c r="B139" t="s">
        <v>75</v>
      </c>
      <c r="C139">
        <v>20</v>
      </c>
      <c r="D139" s="3" t="s">
        <v>151</v>
      </c>
    </row>
    <row r="140" spans="1:4" x14ac:dyDescent="0.25">
      <c r="A140">
        <v>178</v>
      </c>
      <c r="B140" t="s">
        <v>76</v>
      </c>
      <c r="C140">
        <v>20</v>
      </c>
      <c r="D140" s="3" t="s">
        <v>151</v>
      </c>
    </row>
    <row r="141" spans="1:4" x14ac:dyDescent="0.25">
      <c r="A141">
        <v>179</v>
      </c>
      <c r="B141" t="s">
        <v>77</v>
      </c>
      <c r="C141">
        <v>20</v>
      </c>
      <c r="D141" s="3" t="s">
        <v>151</v>
      </c>
    </row>
    <row r="142" spans="1:4" x14ac:dyDescent="0.25">
      <c r="A142">
        <v>180</v>
      </c>
      <c r="B142" t="s">
        <v>78</v>
      </c>
      <c r="C142">
        <v>20</v>
      </c>
      <c r="D142" s="3" t="s">
        <v>151</v>
      </c>
    </row>
    <row r="143" spans="1:4" x14ac:dyDescent="0.25">
      <c r="A143">
        <v>181</v>
      </c>
      <c r="B143" t="s">
        <v>79</v>
      </c>
      <c r="C143">
        <v>40</v>
      </c>
      <c r="D143" s="3" t="s">
        <v>151</v>
      </c>
    </row>
    <row r="144" spans="1:4" x14ac:dyDescent="0.25">
      <c r="A144">
        <v>182</v>
      </c>
      <c r="B144" t="s">
        <v>80</v>
      </c>
      <c r="C144">
        <v>40</v>
      </c>
      <c r="D144" s="3" t="s">
        <v>151</v>
      </c>
    </row>
    <row r="145" spans="1:4" x14ac:dyDescent="0.25">
      <c r="A145">
        <v>183</v>
      </c>
      <c r="B145" t="s">
        <v>81</v>
      </c>
      <c r="C145">
        <v>40</v>
      </c>
      <c r="D145" s="3" t="s">
        <v>151</v>
      </c>
    </row>
    <row r="146" spans="1:4" x14ac:dyDescent="0.25">
      <c r="A146">
        <v>184</v>
      </c>
      <c r="B146" t="s">
        <v>82</v>
      </c>
      <c r="C146">
        <v>40</v>
      </c>
      <c r="D146" s="3" t="s">
        <v>151</v>
      </c>
    </row>
    <row r="147" spans="1:4" x14ac:dyDescent="0.25">
      <c r="A147">
        <v>185</v>
      </c>
      <c r="B147" t="s">
        <v>83</v>
      </c>
      <c r="C147">
        <v>40</v>
      </c>
      <c r="D147" s="3" t="s">
        <v>151</v>
      </c>
    </row>
    <row r="148" spans="1:4" x14ac:dyDescent="0.25">
      <c r="A148">
        <v>186</v>
      </c>
      <c r="B148" t="s">
        <v>84</v>
      </c>
      <c r="C148">
        <v>40</v>
      </c>
      <c r="D148" s="3" t="s">
        <v>151</v>
      </c>
    </row>
    <row r="149" spans="1:4" x14ac:dyDescent="0.25">
      <c r="A149">
        <v>187</v>
      </c>
      <c r="B149" t="s">
        <v>85</v>
      </c>
      <c r="C149">
        <v>40</v>
      </c>
      <c r="D149" s="3" t="s">
        <v>151</v>
      </c>
    </row>
    <row r="150" spans="1:4" x14ac:dyDescent="0.25">
      <c r="A150">
        <v>188</v>
      </c>
      <c r="B150" t="s">
        <v>86</v>
      </c>
      <c r="C150">
        <v>40</v>
      </c>
      <c r="D150" s="3" t="s">
        <v>151</v>
      </c>
    </row>
    <row r="151" spans="1:4" x14ac:dyDescent="0.25">
      <c r="A151">
        <v>189</v>
      </c>
      <c r="B151" t="s">
        <v>87</v>
      </c>
      <c r="C151">
        <v>40</v>
      </c>
      <c r="D151" s="3" t="s">
        <v>151</v>
      </c>
    </row>
    <row r="152" spans="1:4" x14ac:dyDescent="0.25">
      <c r="A152">
        <v>190</v>
      </c>
      <c r="B152" t="s">
        <v>88</v>
      </c>
      <c r="C152">
        <v>40</v>
      </c>
      <c r="D152" s="3" t="s">
        <v>151</v>
      </c>
    </row>
    <row r="153" spans="1:4" x14ac:dyDescent="0.25">
      <c r="A153">
        <v>191</v>
      </c>
      <c r="B153" t="s">
        <v>89</v>
      </c>
      <c r="C153">
        <v>40</v>
      </c>
      <c r="D153" s="3" t="s">
        <v>151</v>
      </c>
    </row>
    <row r="154" spans="1:4" x14ac:dyDescent="0.25">
      <c r="A154">
        <v>192</v>
      </c>
      <c r="B154" t="s">
        <v>90</v>
      </c>
      <c r="C154">
        <v>40</v>
      </c>
      <c r="D154" s="3" t="s">
        <v>151</v>
      </c>
    </row>
    <row r="155" spans="1:4" x14ac:dyDescent="0.25">
      <c r="A155">
        <v>193</v>
      </c>
      <c r="B155" t="s">
        <v>91</v>
      </c>
      <c r="C155">
        <v>40</v>
      </c>
      <c r="D155" s="3" t="s">
        <v>151</v>
      </c>
    </row>
    <row r="156" spans="1:4" x14ac:dyDescent="0.25">
      <c r="A156">
        <v>194</v>
      </c>
      <c r="B156" t="s">
        <v>92</v>
      </c>
      <c r="C156">
        <v>40</v>
      </c>
      <c r="D156" s="3" t="s">
        <v>151</v>
      </c>
    </row>
    <row r="157" spans="1:4" x14ac:dyDescent="0.25">
      <c r="A157">
        <v>195</v>
      </c>
      <c r="B157" t="s">
        <v>93</v>
      </c>
      <c r="C157">
        <v>40</v>
      </c>
      <c r="D157" s="3" t="s">
        <v>151</v>
      </c>
    </row>
    <row r="158" spans="1:4" x14ac:dyDescent="0.25">
      <c r="A158">
        <v>196</v>
      </c>
      <c r="B158" t="s">
        <v>94</v>
      </c>
      <c r="C158">
        <v>40</v>
      </c>
      <c r="D158" s="3" t="s">
        <v>151</v>
      </c>
    </row>
    <row r="159" spans="1:4" x14ac:dyDescent="0.25">
      <c r="A159">
        <v>197</v>
      </c>
      <c r="B159" t="s">
        <v>95</v>
      </c>
      <c r="C159">
        <v>40</v>
      </c>
      <c r="D159" s="3" t="s">
        <v>151</v>
      </c>
    </row>
    <row r="160" spans="1:4" x14ac:dyDescent="0.25">
      <c r="A160">
        <v>198</v>
      </c>
      <c r="B160" t="s">
        <v>96</v>
      </c>
      <c r="C160">
        <v>40</v>
      </c>
      <c r="D160" s="3" t="s">
        <v>151</v>
      </c>
    </row>
    <row r="161" spans="1:4" x14ac:dyDescent="0.25">
      <c r="A161">
        <v>199</v>
      </c>
      <c r="B161" t="s">
        <v>97</v>
      </c>
      <c r="C161">
        <v>40</v>
      </c>
      <c r="D161" s="3" t="s">
        <v>151</v>
      </c>
    </row>
    <row r="162" spans="1:4" x14ac:dyDescent="0.25">
      <c r="A162">
        <v>200</v>
      </c>
      <c r="B162" t="s">
        <v>98</v>
      </c>
      <c r="C162">
        <v>100</v>
      </c>
      <c r="D162" s="3" t="s">
        <v>151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DE948B-4163-4FD9-B2D2-7A99323E3D18}">
  <dimension ref="A1:D102"/>
  <sheetViews>
    <sheetView workbookViewId="0">
      <selection activeCell="B3" sqref="B3"/>
    </sheetView>
  </sheetViews>
  <sheetFormatPr baseColWidth="10" defaultColWidth="18.28515625" defaultRowHeight="15" x14ac:dyDescent="0.25"/>
  <sheetData>
    <row r="1" spans="1:4" x14ac:dyDescent="0.25">
      <c r="A1" t="s">
        <v>101</v>
      </c>
      <c r="B1" t="s">
        <v>102</v>
      </c>
      <c r="C1" t="s">
        <v>103</v>
      </c>
      <c r="D1" t="s">
        <v>104</v>
      </c>
    </row>
    <row r="2" spans="1:4" x14ac:dyDescent="0.25">
      <c r="A2">
        <v>100</v>
      </c>
      <c r="B2">
        <v>50</v>
      </c>
      <c r="C2">
        <v>0</v>
      </c>
      <c r="D2">
        <v>1</v>
      </c>
    </row>
    <row r="3" spans="1:4" x14ac:dyDescent="0.25">
      <c r="A3">
        <v>101</v>
      </c>
      <c r="B3">
        <v>45</v>
      </c>
      <c r="C3">
        <v>15</v>
      </c>
      <c r="D3">
        <v>2</v>
      </c>
    </row>
    <row r="4" spans="1:4" x14ac:dyDescent="0.25">
      <c r="A4">
        <v>102</v>
      </c>
      <c r="B4">
        <v>45</v>
      </c>
      <c r="C4">
        <v>15</v>
      </c>
      <c r="D4">
        <v>2</v>
      </c>
    </row>
    <row r="5" spans="1:4" x14ac:dyDescent="0.25">
      <c r="A5">
        <v>103</v>
      </c>
      <c r="B5">
        <v>45</v>
      </c>
      <c r="C5">
        <v>15</v>
      </c>
      <c r="D5">
        <v>2</v>
      </c>
    </row>
    <row r="6" spans="1:4" x14ac:dyDescent="0.25">
      <c r="A6">
        <v>104</v>
      </c>
      <c r="B6">
        <v>45</v>
      </c>
      <c r="C6">
        <v>15</v>
      </c>
      <c r="D6">
        <v>2</v>
      </c>
    </row>
    <row r="7" spans="1:4" x14ac:dyDescent="0.25">
      <c r="A7">
        <v>105</v>
      </c>
      <c r="B7">
        <v>45</v>
      </c>
      <c r="C7">
        <v>15</v>
      </c>
      <c r="D7">
        <v>2</v>
      </c>
    </row>
    <row r="8" spans="1:4" x14ac:dyDescent="0.25">
      <c r="A8">
        <v>106</v>
      </c>
      <c r="B8">
        <v>45</v>
      </c>
      <c r="C8">
        <v>15</v>
      </c>
      <c r="D8">
        <v>2</v>
      </c>
    </row>
    <row r="9" spans="1:4" x14ac:dyDescent="0.25">
      <c r="A9">
        <v>107</v>
      </c>
      <c r="B9">
        <v>45</v>
      </c>
      <c r="C9">
        <v>15</v>
      </c>
      <c r="D9">
        <v>2</v>
      </c>
    </row>
    <row r="10" spans="1:4" x14ac:dyDescent="0.25">
      <c r="A10">
        <v>108</v>
      </c>
      <c r="B10">
        <v>45</v>
      </c>
      <c r="C10">
        <v>15</v>
      </c>
      <c r="D10">
        <v>2</v>
      </c>
    </row>
    <row r="11" spans="1:4" x14ac:dyDescent="0.25">
      <c r="A11">
        <v>109</v>
      </c>
      <c r="B11">
        <v>45</v>
      </c>
      <c r="C11">
        <v>15</v>
      </c>
      <c r="D11">
        <v>2</v>
      </c>
    </row>
    <row r="12" spans="1:4" x14ac:dyDescent="0.25">
      <c r="A12">
        <v>110</v>
      </c>
      <c r="B12">
        <v>45</v>
      </c>
      <c r="C12">
        <v>15</v>
      </c>
      <c r="D12">
        <v>2</v>
      </c>
    </row>
    <row r="13" spans="1:4" x14ac:dyDescent="0.25">
      <c r="A13">
        <v>111</v>
      </c>
      <c r="B13">
        <v>40</v>
      </c>
      <c r="C13">
        <v>30</v>
      </c>
      <c r="D13">
        <v>4</v>
      </c>
    </row>
    <row r="14" spans="1:4" x14ac:dyDescent="0.25">
      <c r="A14">
        <v>112</v>
      </c>
      <c r="B14">
        <v>40</v>
      </c>
      <c r="C14">
        <v>30</v>
      </c>
      <c r="D14">
        <v>4</v>
      </c>
    </row>
    <row r="15" spans="1:4" x14ac:dyDescent="0.25">
      <c r="A15">
        <v>113</v>
      </c>
      <c r="B15">
        <v>40</v>
      </c>
      <c r="C15">
        <v>30</v>
      </c>
      <c r="D15">
        <v>4</v>
      </c>
    </row>
    <row r="16" spans="1:4" x14ac:dyDescent="0.25">
      <c r="A16">
        <v>114</v>
      </c>
      <c r="B16">
        <v>40</v>
      </c>
      <c r="C16">
        <v>30</v>
      </c>
      <c r="D16">
        <v>4</v>
      </c>
    </row>
    <row r="17" spans="1:4" x14ac:dyDescent="0.25">
      <c r="A17">
        <v>115</v>
      </c>
      <c r="B17">
        <v>40</v>
      </c>
      <c r="C17">
        <v>30</v>
      </c>
      <c r="D17">
        <v>4</v>
      </c>
    </row>
    <row r="18" spans="1:4" x14ac:dyDescent="0.25">
      <c r="A18">
        <v>116</v>
      </c>
      <c r="B18">
        <v>40</v>
      </c>
      <c r="C18">
        <v>30</v>
      </c>
      <c r="D18">
        <v>4</v>
      </c>
    </row>
    <row r="19" spans="1:4" x14ac:dyDescent="0.25">
      <c r="A19">
        <v>117</v>
      </c>
      <c r="B19">
        <v>40</v>
      </c>
      <c r="C19">
        <v>30</v>
      </c>
      <c r="D19">
        <v>4</v>
      </c>
    </row>
    <row r="20" spans="1:4" x14ac:dyDescent="0.25">
      <c r="A20">
        <v>118</v>
      </c>
      <c r="B20">
        <v>40</v>
      </c>
      <c r="C20">
        <v>30</v>
      </c>
      <c r="D20">
        <v>4</v>
      </c>
    </row>
    <row r="21" spans="1:4" x14ac:dyDescent="0.25">
      <c r="A21">
        <v>119</v>
      </c>
      <c r="B21">
        <v>40</v>
      </c>
      <c r="C21">
        <v>30</v>
      </c>
      <c r="D21">
        <v>4</v>
      </c>
    </row>
    <row r="22" spans="1:4" x14ac:dyDescent="0.25">
      <c r="A22">
        <v>120</v>
      </c>
      <c r="B22">
        <v>40</v>
      </c>
      <c r="C22">
        <v>30</v>
      </c>
      <c r="D22">
        <v>4</v>
      </c>
    </row>
    <row r="23" spans="1:4" x14ac:dyDescent="0.25">
      <c r="A23">
        <v>121</v>
      </c>
      <c r="B23">
        <v>35</v>
      </c>
      <c r="C23">
        <v>45</v>
      </c>
      <c r="D23">
        <v>6</v>
      </c>
    </row>
    <row r="24" spans="1:4" x14ac:dyDescent="0.25">
      <c r="A24">
        <v>122</v>
      </c>
      <c r="B24">
        <v>35</v>
      </c>
      <c r="C24">
        <v>45</v>
      </c>
      <c r="D24">
        <v>6</v>
      </c>
    </row>
    <row r="25" spans="1:4" x14ac:dyDescent="0.25">
      <c r="A25">
        <v>123</v>
      </c>
      <c r="B25">
        <v>35</v>
      </c>
      <c r="C25">
        <v>45</v>
      </c>
      <c r="D25">
        <v>6</v>
      </c>
    </row>
    <row r="26" spans="1:4" x14ac:dyDescent="0.25">
      <c r="A26">
        <v>124</v>
      </c>
      <c r="B26">
        <v>35</v>
      </c>
      <c r="C26">
        <v>45</v>
      </c>
      <c r="D26">
        <v>6</v>
      </c>
    </row>
    <row r="27" spans="1:4" x14ac:dyDescent="0.25">
      <c r="A27">
        <v>125</v>
      </c>
      <c r="B27">
        <v>35</v>
      </c>
      <c r="C27">
        <v>45</v>
      </c>
      <c r="D27">
        <v>6</v>
      </c>
    </row>
    <row r="28" spans="1:4" x14ac:dyDescent="0.25">
      <c r="A28">
        <v>126</v>
      </c>
      <c r="B28">
        <v>35</v>
      </c>
      <c r="C28">
        <v>45</v>
      </c>
      <c r="D28">
        <v>6</v>
      </c>
    </row>
    <row r="29" spans="1:4" x14ac:dyDescent="0.25">
      <c r="A29">
        <v>127</v>
      </c>
      <c r="B29">
        <v>35</v>
      </c>
      <c r="C29">
        <v>45</v>
      </c>
      <c r="D29">
        <v>6</v>
      </c>
    </row>
    <row r="30" spans="1:4" x14ac:dyDescent="0.25">
      <c r="A30">
        <v>128</v>
      </c>
      <c r="B30">
        <v>35</v>
      </c>
      <c r="C30">
        <v>45</v>
      </c>
      <c r="D30">
        <v>6</v>
      </c>
    </row>
    <row r="31" spans="1:4" x14ac:dyDescent="0.25">
      <c r="A31">
        <v>129</v>
      </c>
      <c r="B31">
        <v>35</v>
      </c>
      <c r="C31">
        <v>45</v>
      </c>
      <c r="D31">
        <v>6</v>
      </c>
    </row>
    <row r="32" spans="1:4" x14ac:dyDescent="0.25">
      <c r="A32">
        <v>130</v>
      </c>
      <c r="B32">
        <v>35</v>
      </c>
      <c r="C32">
        <v>45</v>
      </c>
      <c r="D32">
        <v>6</v>
      </c>
    </row>
    <row r="33" spans="1:4" x14ac:dyDescent="0.25">
      <c r="A33">
        <v>131</v>
      </c>
      <c r="B33">
        <v>30</v>
      </c>
      <c r="C33">
        <v>60</v>
      </c>
      <c r="D33">
        <v>10</v>
      </c>
    </row>
    <row r="34" spans="1:4" x14ac:dyDescent="0.25">
      <c r="A34">
        <v>132</v>
      </c>
      <c r="B34">
        <v>30</v>
      </c>
      <c r="C34">
        <v>60</v>
      </c>
      <c r="D34">
        <v>10</v>
      </c>
    </row>
    <row r="35" spans="1:4" x14ac:dyDescent="0.25">
      <c r="A35">
        <v>133</v>
      </c>
      <c r="B35">
        <v>30</v>
      </c>
      <c r="C35">
        <v>60</v>
      </c>
      <c r="D35">
        <v>10</v>
      </c>
    </row>
    <row r="36" spans="1:4" x14ac:dyDescent="0.25">
      <c r="A36">
        <v>134</v>
      </c>
      <c r="B36">
        <v>30</v>
      </c>
      <c r="C36">
        <v>60</v>
      </c>
      <c r="D36">
        <v>10</v>
      </c>
    </row>
    <row r="37" spans="1:4" x14ac:dyDescent="0.25">
      <c r="A37">
        <v>135</v>
      </c>
      <c r="B37">
        <v>30</v>
      </c>
      <c r="C37">
        <v>60</v>
      </c>
      <c r="D37">
        <v>10</v>
      </c>
    </row>
    <row r="38" spans="1:4" x14ac:dyDescent="0.25">
      <c r="A38">
        <v>136</v>
      </c>
      <c r="B38">
        <v>30</v>
      </c>
      <c r="C38">
        <v>60</v>
      </c>
      <c r="D38">
        <v>10</v>
      </c>
    </row>
    <row r="39" spans="1:4" x14ac:dyDescent="0.25">
      <c r="A39">
        <v>137</v>
      </c>
      <c r="B39">
        <v>30</v>
      </c>
      <c r="C39">
        <v>60</v>
      </c>
      <c r="D39">
        <v>10</v>
      </c>
    </row>
    <row r="40" spans="1:4" x14ac:dyDescent="0.25">
      <c r="A40">
        <v>138</v>
      </c>
      <c r="B40">
        <v>30</v>
      </c>
      <c r="C40">
        <v>60</v>
      </c>
      <c r="D40">
        <v>10</v>
      </c>
    </row>
    <row r="41" spans="1:4" x14ac:dyDescent="0.25">
      <c r="A41">
        <v>139</v>
      </c>
      <c r="B41">
        <v>30</v>
      </c>
      <c r="C41">
        <v>60</v>
      </c>
      <c r="D41">
        <v>10</v>
      </c>
    </row>
    <row r="42" spans="1:4" x14ac:dyDescent="0.25">
      <c r="A42">
        <v>140</v>
      </c>
      <c r="B42">
        <v>30</v>
      </c>
      <c r="C42">
        <v>60</v>
      </c>
      <c r="D42">
        <v>10</v>
      </c>
    </row>
    <row r="43" spans="1:4" x14ac:dyDescent="0.25">
      <c r="A43">
        <v>141</v>
      </c>
      <c r="B43">
        <v>25</v>
      </c>
      <c r="C43">
        <v>75</v>
      </c>
      <c r="D43">
        <v>15</v>
      </c>
    </row>
    <row r="44" spans="1:4" x14ac:dyDescent="0.25">
      <c r="A44">
        <v>142</v>
      </c>
      <c r="B44">
        <v>25</v>
      </c>
      <c r="C44">
        <v>75</v>
      </c>
      <c r="D44">
        <v>15</v>
      </c>
    </row>
    <row r="45" spans="1:4" x14ac:dyDescent="0.25">
      <c r="A45">
        <v>143</v>
      </c>
      <c r="B45">
        <v>25</v>
      </c>
      <c r="C45">
        <v>75</v>
      </c>
      <c r="D45">
        <v>15</v>
      </c>
    </row>
    <row r="46" spans="1:4" x14ac:dyDescent="0.25">
      <c r="A46">
        <v>144</v>
      </c>
      <c r="B46">
        <v>25</v>
      </c>
      <c r="C46">
        <v>75</v>
      </c>
      <c r="D46">
        <v>15</v>
      </c>
    </row>
    <row r="47" spans="1:4" x14ac:dyDescent="0.25">
      <c r="A47">
        <v>145</v>
      </c>
      <c r="B47">
        <v>25</v>
      </c>
      <c r="C47">
        <v>75</v>
      </c>
      <c r="D47">
        <v>15</v>
      </c>
    </row>
    <row r="48" spans="1:4" x14ac:dyDescent="0.25">
      <c r="A48">
        <v>146</v>
      </c>
      <c r="B48">
        <v>25</v>
      </c>
      <c r="C48">
        <v>75</v>
      </c>
      <c r="D48">
        <v>15</v>
      </c>
    </row>
    <row r="49" spans="1:4" x14ac:dyDescent="0.25">
      <c r="A49">
        <v>147</v>
      </c>
      <c r="B49">
        <v>25</v>
      </c>
      <c r="C49">
        <v>75</v>
      </c>
      <c r="D49">
        <v>15</v>
      </c>
    </row>
    <row r="50" spans="1:4" x14ac:dyDescent="0.25">
      <c r="A50">
        <v>148</v>
      </c>
      <c r="B50">
        <v>25</v>
      </c>
      <c r="C50">
        <v>75</v>
      </c>
      <c r="D50">
        <v>15</v>
      </c>
    </row>
    <row r="51" spans="1:4" x14ac:dyDescent="0.25">
      <c r="A51">
        <v>149</v>
      </c>
      <c r="B51">
        <v>25</v>
      </c>
      <c r="C51">
        <v>75</v>
      </c>
      <c r="D51">
        <v>15</v>
      </c>
    </row>
    <row r="52" spans="1:4" x14ac:dyDescent="0.25">
      <c r="A52">
        <v>150</v>
      </c>
      <c r="B52">
        <v>25</v>
      </c>
      <c r="C52">
        <v>75</v>
      </c>
      <c r="D52">
        <v>15</v>
      </c>
    </row>
    <row r="53" spans="1:4" x14ac:dyDescent="0.25">
      <c r="A53">
        <v>151</v>
      </c>
      <c r="B53">
        <v>20</v>
      </c>
      <c r="C53">
        <v>90</v>
      </c>
      <c r="D53">
        <v>20</v>
      </c>
    </row>
    <row r="54" spans="1:4" x14ac:dyDescent="0.25">
      <c r="A54">
        <v>152</v>
      </c>
      <c r="B54">
        <v>20</v>
      </c>
      <c r="C54">
        <v>90</v>
      </c>
      <c r="D54">
        <v>20</v>
      </c>
    </row>
    <row r="55" spans="1:4" x14ac:dyDescent="0.25">
      <c r="A55">
        <v>153</v>
      </c>
      <c r="B55">
        <v>20</v>
      </c>
      <c r="C55">
        <v>90</v>
      </c>
      <c r="D55">
        <v>20</v>
      </c>
    </row>
    <row r="56" spans="1:4" x14ac:dyDescent="0.25">
      <c r="A56">
        <v>154</v>
      </c>
      <c r="B56">
        <v>20</v>
      </c>
      <c r="C56">
        <v>90</v>
      </c>
      <c r="D56">
        <v>20</v>
      </c>
    </row>
    <row r="57" spans="1:4" x14ac:dyDescent="0.25">
      <c r="A57">
        <v>155</v>
      </c>
      <c r="B57">
        <v>20</v>
      </c>
      <c r="C57">
        <v>90</v>
      </c>
      <c r="D57">
        <v>20</v>
      </c>
    </row>
    <row r="58" spans="1:4" x14ac:dyDescent="0.25">
      <c r="A58">
        <v>156</v>
      </c>
      <c r="B58">
        <v>20</v>
      </c>
      <c r="C58">
        <v>90</v>
      </c>
      <c r="D58">
        <v>20</v>
      </c>
    </row>
    <row r="59" spans="1:4" x14ac:dyDescent="0.25">
      <c r="A59">
        <v>157</v>
      </c>
      <c r="B59">
        <v>20</v>
      </c>
      <c r="C59">
        <v>90</v>
      </c>
      <c r="D59">
        <v>20</v>
      </c>
    </row>
    <row r="60" spans="1:4" x14ac:dyDescent="0.25">
      <c r="A60">
        <v>158</v>
      </c>
      <c r="B60">
        <v>20</v>
      </c>
      <c r="C60">
        <v>90</v>
      </c>
      <c r="D60">
        <v>20</v>
      </c>
    </row>
    <row r="61" spans="1:4" x14ac:dyDescent="0.25">
      <c r="A61">
        <v>159</v>
      </c>
      <c r="B61">
        <v>20</v>
      </c>
      <c r="C61">
        <v>90</v>
      </c>
      <c r="D61">
        <v>20</v>
      </c>
    </row>
    <row r="62" spans="1:4" x14ac:dyDescent="0.25">
      <c r="A62">
        <v>160</v>
      </c>
      <c r="B62">
        <v>20</v>
      </c>
      <c r="C62">
        <v>90</v>
      </c>
      <c r="D62">
        <v>20</v>
      </c>
    </row>
    <row r="63" spans="1:4" x14ac:dyDescent="0.25">
      <c r="A63">
        <v>161</v>
      </c>
      <c r="B63">
        <v>15</v>
      </c>
      <c r="C63">
        <v>105</v>
      </c>
      <c r="D63">
        <v>25</v>
      </c>
    </row>
    <row r="64" spans="1:4" x14ac:dyDescent="0.25">
      <c r="A64">
        <v>162</v>
      </c>
      <c r="B64">
        <v>15</v>
      </c>
      <c r="C64">
        <v>105</v>
      </c>
      <c r="D64">
        <v>25</v>
      </c>
    </row>
    <row r="65" spans="1:4" x14ac:dyDescent="0.25">
      <c r="A65">
        <v>163</v>
      </c>
      <c r="B65">
        <v>15</v>
      </c>
      <c r="C65">
        <v>105</v>
      </c>
      <c r="D65">
        <v>25</v>
      </c>
    </row>
    <row r="66" spans="1:4" x14ac:dyDescent="0.25">
      <c r="A66">
        <v>164</v>
      </c>
      <c r="B66">
        <v>15</v>
      </c>
      <c r="C66">
        <v>105</v>
      </c>
      <c r="D66">
        <v>25</v>
      </c>
    </row>
    <row r="67" spans="1:4" x14ac:dyDescent="0.25">
      <c r="A67">
        <v>165</v>
      </c>
      <c r="B67">
        <v>15</v>
      </c>
      <c r="C67">
        <v>105</v>
      </c>
      <c r="D67">
        <v>25</v>
      </c>
    </row>
    <row r="68" spans="1:4" x14ac:dyDescent="0.25">
      <c r="A68">
        <v>166</v>
      </c>
      <c r="B68">
        <v>15</v>
      </c>
      <c r="C68">
        <v>105</v>
      </c>
      <c r="D68">
        <v>25</v>
      </c>
    </row>
    <row r="69" spans="1:4" x14ac:dyDescent="0.25">
      <c r="A69">
        <v>167</v>
      </c>
      <c r="B69">
        <v>15</v>
      </c>
      <c r="C69">
        <v>105</v>
      </c>
      <c r="D69">
        <v>25</v>
      </c>
    </row>
    <row r="70" spans="1:4" x14ac:dyDescent="0.25">
      <c r="A70">
        <v>168</v>
      </c>
      <c r="B70">
        <v>15</v>
      </c>
      <c r="C70">
        <v>105</v>
      </c>
      <c r="D70">
        <v>25</v>
      </c>
    </row>
    <row r="71" spans="1:4" x14ac:dyDescent="0.25">
      <c r="A71">
        <v>169</v>
      </c>
      <c r="B71">
        <v>15</v>
      </c>
      <c r="C71">
        <v>105</v>
      </c>
      <c r="D71">
        <v>25</v>
      </c>
    </row>
    <row r="72" spans="1:4" x14ac:dyDescent="0.25">
      <c r="A72">
        <v>170</v>
      </c>
      <c r="B72">
        <v>15</v>
      </c>
      <c r="C72">
        <v>105</v>
      </c>
      <c r="D72">
        <v>25</v>
      </c>
    </row>
    <row r="73" spans="1:4" x14ac:dyDescent="0.25">
      <c r="A73">
        <v>171</v>
      </c>
      <c r="B73">
        <v>10</v>
      </c>
      <c r="C73">
        <v>120</v>
      </c>
      <c r="D73">
        <v>30</v>
      </c>
    </row>
    <row r="74" spans="1:4" x14ac:dyDescent="0.25">
      <c r="A74">
        <v>172</v>
      </c>
      <c r="B74">
        <v>10</v>
      </c>
      <c r="C74">
        <v>120</v>
      </c>
      <c r="D74">
        <v>30</v>
      </c>
    </row>
    <row r="75" spans="1:4" x14ac:dyDescent="0.25">
      <c r="A75">
        <v>173</v>
      </c>
      <c r="B75">
        <v>10</v>
      </c>
      <c r="C75">
        <v>120</v>
      </c>
      <c r="D75">
        <v>30</v>
      </c>
    </row>
    <row r="76" spans="1:4" x14ac:dyDescent="0.25">
      <c r="A76">
        <v>174</v>
      </c>
      <c r="B76">
        <v>10</v>
      </c>
      <c r="C76">
        <v>120</v>
      </c>
      <c r="D76">
        <v>30</v>
      </c>
    </row>
    <row r="77" spans="1:4" x14ac:dyDescent="0.25">
      <c r="A77">
        <v>175</v>
      </c>
      <c r="B77">
        <v>10</v>
      </c>
      <c r="C77">
        <v>120</v>
      </c>
      <c r="D77">
        <v>30</v>
      </c>
    </row>
    <row r="78" spans="1:4" x14ac:dyDescent="0.25">
      <c r="A78">
        <v>176</v>
      </c>
      <c r="B78">
        <v>10</v>
      </c>
      <c r="C78">
        <v>120</v>
      </c>
      <c r="D78">
        <v>30</v>
      </c>
    </row>
    <row r="79" spans="1:4" x14ac:dyDescent="0.25">
      <c r="A79">
        <v>177</v>
      </c>
      <c r="B79">
        <v>10</v>
      </c>
      <c r="C79">
        <v>120</v>
      </c>
      <c r="D79">
        <v>30</v>
      </c>
    </row>
    <row r="80" spans="1:4" x14ac:dyDescent="0.25">
      <c r="A80">
        <v>178</v>
      </c>
      <c r="B80">
        <v>10</v>
      </c>
      <c r="C80">
        <v>120</v>
      </c>
      <c r="D80">
        <v>30</v>
      </c>
    </row>
    <row r="81" spans="1:4" x14ac:dyDescent="0.25">
      <c r="A81">
        <v>179</v>
      </c>
      <c r="B81">
        <v>10</v>
      </c>
      <c r="C81">
        <v>120</v>
      </c>
      <c r="D81">
        <v>30</v>
      </c>
    </row>
    <row r="82" spans="1:4" x14ac:dyDescent="0.25">
      <c r="A82">
        <v>180</v>
      </c>
      <c r="B82">
        <v>10</v>
      </c>
      <c r="C82">
        <v>120</v>
      </c>
      <c r="D82">
        <v>30</v>
      </c>
    </row>
    <row r="83" spans="1:4" x14ac:dyDescent="0.25">
      <c r="A83">
        <v>181</v>
      </c>
      <c r="B83">
        <v>5</v>
      </c>
      <c r="C83">
        <v>135</v>
      </c>
      <c r="D83">
        <v>35</v>
      </c>
    </row>
    <row r="84" spans="1:4" x14ac:dyDescent="0.25">
      <c r="A84">
        <v>182</v>
      </c>
      <c r="B84">
        <v>5</v>
      </c>
      <c r="C84">
        <v>135</v>
      </c>
      <c r="D84">
        <v>35</v>
      </c>
    </row>
    <row r="85" spans="1:4" x14ac:dyDescent="0.25">
      <c r="A85">
        <v>183</v>
      </c>
      <c r="B85">
        <v>5</v>
      </c>
      <c r="C85">
        <v>135</v>
      </c>
      <c r="D85">
        <v>35</v>
      </c>
    </row>
    <row r="86" spans="1:4" x14ac:dyDescent="0.25">
      <c r="A86">
        <v>184</v>
      </c>
      <c r="B86">
        <v>5</v>
      </c>
      <c r="C86">
        <v>135</v>
      </c>
      <c r="D86">
        <v>35</v>
      </c>
    </row>
    <row r="87" spans="1:4" x14ac:dyDescent="0.25">
      <c r="A87">
        <v>185</v>
      </c>
      <c r="B87">
        <v>5</v>
      </c>
      <c r="C87">
        <v>135</v>
      </c>
      <c r="D87">
        <v>35</v>
      </c>
    </row>
    <row r="88" spans="1:4" x14ac:dyDescent="0.25">
      <c r="A88">
        <v>186</v>
      </c>
      <c r="B88">
        <v>5</v>
      </c>
      <c r="C88">
        <v>135</v>
      </c>
      <c r="D88">
        <v>35</v>
      </c>
    </row>
    <row r="89" spans="1:4" x14ac:dyDescent="0.25">
      <c r="A89">
        <v>187</v>
      </c>
      <c r="B89">
        <v>5</v>
      </c>
      <c r="C89">
        <v>135</v>
      </c>
      <c r="D89">
        <v>35</v>
      </c>
    </row>
    <row r="90" spans="1:4" x14ac:dyDescent="0.25">
      <c r="A90">
        <v>188</v>
      </c>
      <c r="B90">
        <v>5</v>
      </c>
      <c r="C90">
        <v>135</v>
      </c>
      <c r="D90">
        <v>35</v>
      </c>
    </row>
    <row r="91" spans="1:4" x14ac:dyDescent="0.25">
      <c r="A91">
        <v>189</v>
      </c>
      <c r="B91">
        <v>5</v>
      </c>
      <c r="C91">
        <v>135</v>
      </c>
      <c r="D91">
        <v>35</v>
      </c>
    </row>
    <row r="92" spans="1:4" x14ac:dyDescent="0.25">
      <c r="A92">
        <v>190</v>
      </c>
      <c r="B92">
        <v>5</v>
      </c>
      <c r="C92">
        <v>135</v>
      </c>
      <c r="D92">
        <v>35</v>
      </c>
    </row>
    <row r="93" spans="1:4" x14ac:dyDescent="0.25">
      <c r="A93">
        <v>191</v>
      </c>
      <c r="B93">
        <v>0</v>
      </c>
      <c r="C93">
        <v>150</v>
      </c>
      <c r="D93">
        <v>40</v>
      </c>
    </row>
    <row r="94" spans="1:4" x14ac:dyDescent="0.25">
      <c r="A94">
        <v>192</v>
      </c>
      <c r="B94">
        <v>0</v>
      </c>
      <c r="C94">
        <v>150</v>
      </c>
      <c r="D94">
        <v>40</v>
      </c>
    </row>
    <row r="95" spans="1:4" x14ac:dyDescent="0.25">
      <c r="A95">
        <v>193</v>
      </c>
      <c r="B95">
        <v>0</v>
      </c>
      <c r="C95">
        <v>150</v>
      </c>
      <c r="D95">
        <v>40</v>
      </c>
    </row>
    <row r="96" spans="1:4" x14ac:dyDescent="0.25">
      <c r="A96">
        <v>194</v>
      </c>
      <c r="B96">
        <v>0</v>
      </c>
      <c r="C96">
        <v>150</v>
      </c>
      <c r="D96">
        <v>40</v>
      </c>
    </row>
    <row r="97" spans="1:4" x14ac:dyDescent="0.25">
      <c r="A97">
        <v>195</v>
      </c>
      <c r="B97">
        <v>0</v>
      </c>
      <c r="C97">
        <v>150</v>
      </c>
      <c r="D97">
        <v>40</v>
      </c>
    </row>
    <row r="98" spans="1:4" x14ac:dyDescent="0.25">
      <c r="A98">
        <v>196</v>
      </c>
      <c r="B98">
        <v>0</v>
      </c>
      <c r="C98">
        <v>150</v>
      </c>
      <c r="D98">
        <v>40</v>
      </c>
    </row>
    <row r="99" spans="1:4" x14ac:dyDescent="0.25">
      <c r="A99">
        <v>197</v>
      </c>
      <c r="B99">
        <v>0</v>
      </c>
      <c r="C99">
        <v>150</v>
      </c>
      <c r="D99">
        <v>40</v>
      </c>
    </row>
    <row r="100" spans="1:4" x14ac:dyDescent="0.25">
      <c r="A100">
        <v>198</v>
      </c>
      <c r="B100">
        <v>0</v>
      </c>
      <c r="C100">
        <v>150</v>
      </c>
      <c r="D100">
        <v>40</v>
      </c>
    </row>
    <row r="101" spans="1:4" x14ac:dyDescent="0.25">
      <c r="A101">
        <v>199</v>
      </c>
      <c r="B101">
        <v>0</v>
      </c>
      <c r="C101">
        <v>150</v>
      </c>
      <c r="D101">
        <v>40</v>
      </c>
    </row>
    <row r="102" spans="1:4" x14ac:dyDescent="0.25">
      <c r="A102">
        <v>200</v>
      </c>
      <c r="B102">
        <v>0</v>
      </c>
      <c r="C102">
        <v>150</v>
      </c>
      <c r="D102">
        <v>40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FCC856-65A0-48A6-B1C9-727B6DD4FAA0}">
  <dimension ref="A1:D162"/>
  <sheetViews>
    <sheetView topLeftCell="A36" workbookViewId="0">
      <selection activeCell="T2" sqref="T2:BD51"/>
    </sheetView>
  </sheetViews>
  <sheetFormatPr baseColWidth="10" defaultColWidth="12.28515625" defaultRowHeight="15" x14ac:dyDescent="0.25"/>
  <sheetData>
    <row r="1" spans="1:4" x14ac:dyDescent="0.25">
      <c r="A1" t="s">
        <v>105</v>
      </c>
      <c r="B1" t="s">
        <v>106</v>
      </c>
      <c r="C1" t="s">
        <v>107</v>
      </c>
      <c r="D1" t="s">
        <v>108</v>
      </c>
    </row>
    <row r="2" spans="1:4" x14ac:dyDescent="0.25">
      <c r="A2">
        <v>40</v>
      </c>
      <c r="B2" s="1" t="s">
        <v>151</v>
      </c>
      <c r="C2">
        <v>1</v>
      </c>
      <c r="D2" s="2">
        <f>A2/12</f>
        <v>3.3333333333333335</v>
      </c>
    </row>
    <row r="3" spans="1:4" x14ac:dyDescent="0.25">
      <c r="A3">
        <v>41</v>
      </c>
      <c r="B3" s="1" t="s">
        <v>151</v>
      </c>
      <c r="C3">
        <v>1</v>
      </c>
      <c r="D3" s="2">
        <f t="shared" ref="D3:D37" si="0">A3/12</f>
        <v>3.4166666666666665</v>
      </c>
    </row>
    <row r="4" spans="1:4" x14ac:dyDescent="0.25">
      <c r="A4">
        <v>42</v>
      </c>
      <c r="B4" s="1" t="s">
        <v>151</v>
      </c>
      <c r="C4">
        <v>1</v>
      </c>
      <c r="D4" s="2">
        <f t="shared" si="0"/>
        <v>3.5</v>
      </c>
    </row>
    <row r="5" spans="1:4" x14ac:dyDescent="0.25">
      <c r="A5">
        <v>43</v>
      </c>
      <c r="B5" s="1" t="s">
        <v>151</v>
      </c>
      <c r="C5">
        <v>1</v>
      </c>
      <c r="D5" s="2">
        <f t="shared" si="0"/>
        <v>3.5833333333333335</v>
      </c>
    </row>
    <row r="6" spans="1:4" x14ac:dyDescent="0.25">
      <c r="A6">
        <v>44</v>
      </c>
      <c r="B6" s="1" t="s">
        <v>151</v>
      </c>
      <c r="C6">
        <v>1</v>
      </c>
      <c r="D6" s="2">
        <f t="shared" si="0"/>
        <v>3.6666666666666665</v>
      </c>
    </row>
    <row r="7" spans="1:4" x14ac:dyDescent="0.25">
      <c r="A7">
        <v>45</v>
      </c>
      <c r="B7" s="1" t="s">
        <v>151</v>
      </c>
      <c r="C7">
        <v>1</v>
      </c>
      <c r="D7" s="2">
        <f t="shared" si="0"/>
        <v>3.75</v>
      </c>
    </row>
    <row r="8" spans="1:4" x14ac:dyDescent="0.25">
      <c r="A8">
        <v>46</v>
      </c>
      <c r="B8" s="1" t="s">
        <v>151</v>
      </c>
      <c r="C8">
        <v>1</v>
      </c>
      <c r="D8" s="2">
        <f t="shared" si="0"/>
        <v>3.8333333333333335</v>
      </c>
    </row>
    <row r="9" spans="1:4" x14ac:dyDescent="0.25">
      <c r="A9">
        <v>47</v>
      </c>
      <c r="B9" s="1" t="s">
        <v>151</v>
      </c>
      <c r="C9">
        <v>1</v>
      </c>
      <c r="D9" s="2">
        <f t="shared" si="0"/>
        <v>3.9166666666666665</v>
      </c>
    </row>
    <row r="10" spans="1:4" x14ac:dyDescent="0.25">
      <c r="A10">
        <v>48</v>
      </c>
      <c r="B10" s="1" t="s">
        <v>151</v>
      </c>
      <c r="C10">
        <v>1</v>
      </c>
      <c r="D10" s="2">
        <f t="shared" si="0"/>
        <v>4</v>
      </c>
    </row>
    <row r="11" spans="1:4" x14ac:dyDescent="0.25">
      <c r="A11">
        <v>49</v>
      </c>
      <c r="B11" s="1" t="s">
        <v>151</v>
      </c>
      <c r="C11">
        <v>1</v>
      </c>
      <c r="D11" s="2">
        <f t="shared" si="0"/>
        <v>4.083333333333333</v>
      </c>
    </row>
    <row r="12" spans="1:4" x14ac:dyDescent="0.25">
      <c r="A12">
        <v>50</v>
      </c>
      <c r="B12" s="1" t="s">
        <v>151</v>
      </c>
      <c r="C12">
        <v>1</v>
      </c>
      <c r="D12" s="2">
        <f t="shared" si="0"/>
        <v>4.166666666666667</v>
      </c>
    </row>
    <row r="13" spans="1:4" x14ac:dyDescent="0.25">
      <c r="A13">
        <v>51</v>
      </c>
      <c r="B13" s="1" t="s">
        <v>151</v>
      </c>
      <c r="C13">
        <v>1</v>
      </c>
      <c r="D13" s="2">
        <f t="shared" si="0"/>
        <v>4.25</v>
      </c>
    </row>
    <row r="14" spans="1:4" x14ac:dyDescent="0.25">
      <c r="A14">
        <v>52</v>
      </c>
      <c r="B14" s="1" t="s">
        <v>151</v>
      </c>
      <c r="C14">
        <v>1</v>
      </c>
      <c r="D14" s="2">
        <f t="shared" si="0"/>
        <v>4.333333333333333</v>
      </c>
    </row>
    <row r="15" spans="1:4" x14ac:dyDescent="0.25">
      <c r="A15">
        <v>53</v>
      </c>
      <c r="B15" s="1" t="s">
        <v>151</v>
      </c>
      <c r="C15">
        <v>1</v>
      </c>
      <c r="D15" s="2">
        <f t="shared" si="0"/>
        <v>4.416666666666667</v>
      </c>
    </row>
    <row r="16" spans="1:4" x14ac:dyDescent="0.25">
      <c r="A16">
        <v>54</v>
      </c>
      <c r="B16" s="1" t="s">
        <v>151</v>
      </c>
      <c r="C16">
        <v>1</v>
      </c>
      <c r="D16" s="2">
        <f t="shared" si="0"/>
        <v>4.5</v>
      </c>
    </row>
    <row r="17" spans="1:4" x14ac:dyDescent="0.25">
      <c r="A17">
        <v>55</v>
      </c>
      <c r="B17" s="1" t="s">
        <v>151</v>
      </c>
      <c r="C17">
        <v>1</v>
      </c>
      <c r="D17" s="2">
        <f t="shared" si="0"/>
        <v>4.583333333333333</v>
      </c>
    </row>
    <row r="18" spans="1:4" x14ac:dyDescent="0.25">
      <c r="A18">
        <v>56</v>
      </c>
      <c r="B18" s="1" t="s">
        <v>151</v>
      </c>
      <c r="C18">
        <v>1</v>
      </c>
      <c r="D18" s="2">
        <f t="shared" si="0"/>
        <v>4.666666666666667</v>
      </c>
    </row>
    <row r="19" spans="1:4" x14ac:dyDescent="0.25">
      <c r="A19">
        <v>57</v>
      </c>
      <c r="B19" s="1" t="s">
        <v>151</v>
      </c>
      <c r="C19">
        <v>1</v>
      </c>
      <c r="D19" s="2">
        <f t="shared" si="0"/>
        <v>4.75</v>
      </c>
    </row>
    <row r="20" spans="1:4" x14ac:dyDescent="0.25">
      <c r="A20">
        <v>58</v>
      </c>
      <c r="B20" s="1" t="s">
        <v>151</v>
      </c>
      <c r="C20">
        <v>1</v>
      </c>
      <c r="D20" s="2">
        <f t="shared" si="0"/>
        <v>4.833333333333333</v>
      </c>
    </row>
    <row r="21" spans="1:4" x14ac:dyDescent="0.25">
      <c r="A21">
        <v>59</v>
      </c>
      <c r="B21" s="1" t="s">
        <v>151</v>
      </c>
      <c r="C21">
        <v>1</v>
      </c>
      <c r="D21" s="2">
        <f t="shared" si="0"/>
        <v>4.916666666666667</v>
      </c>
    </row>
    <row r="22" spans="1:4" x14ac:dyDescent="0.25">
      <c r="A22">
        <v>60</v>
      </c>
      <c r="B22" s="1" t="s">
        <v>151</v>
      </c>
      <c r="C22">
        <v>1</v>
      </c>
      <c r="D22" s="2">
        <f t="shared" si="0"/>
        <v>5</v>
      </c>
    </row>
    <row r="23" spans="1:4" x14ac:dyDescent="0.25">
      <c r="A23">
        <v>61</v>
      </c>
      <c r="B23" s="1" t="s">
        <v>151</v>
      </c>
      <c r="C23">
        <v>1</v>
      </c>
      <c r="D23" s="2">
        <f t="shared" si="0"/>
        <v>5.083333333333333</v>
      </c>
    </row>
    <row r="24" spans="1:4" x14ac:dyDescent="0.25">
      <c r="A24">
        <v>62</v>
      </c>
      <c r="B24" s="1" t="s">
        <v>151</v>
      </c>
      <c r="C24">
        <v>1</v>
      </c>
      <c r="D24" s="2">
        <f t="shared" si="0"/>
        <v>5.166666666666667</v>
      </c>
    </row>
    <row r="25" spans="1:4" x14ac:dyDescent="0.25">
      <c r="A25">
        <v>63</v>
      </c>
      <c r="B25" s="1" t="s">
        <v>151</v>
      </c>
      <c r="C25">
        <v>1</v>
      </c>
      <c r="D25" s="2">
        <f t="shared" si="0"/>
        <v>5.25</v>
      </c>
    </row>
    <row r="26" spans="1:4" x14ac:dyDescent="0.25">
      <c r="A26">
        <v>64</v>
      </c>
      <c r="B26" s="1" t="s">
        <v>151</v>
      </c>
      <c r="C26">
        <v>1</v>
      </c>
      <c r="D26" s="2">
        <f t="shared" si="0"/>
        <v>5.333333333333333</v>
      </c>
    </row>
    <row r="27" spans="1:4" x14ac:dyDescent="0.25">
      <c r="A27">
        <v>65</v>
      </c>
      <c r="B27" s="1" t="s">
        <v>151</v>
      </c>
      <c r="C27">
        <v>1</v>
      </c>
      <c r="D27" s="2">
        <f t="shared" si="0"/>
        <v>5.416666666666667</v>
      </c>
    </row>
    <row r="28" spans="1:4" x14ac:dyDescent="0.25">
      <c r="A28">
        <v>66</v>
      </c>
      <c r="B28" s="1" t="s">
        <v>151</v>
      </c>
      <c r="C28">
        <v>1</v>
      </c>
      <c r="D28" s="2">
        <f t="shared" si="0"/>
        <v>5.5</v>
      </c>
    </row>
    <row r="29" spans="1:4" x14ac:dyDescent="0.25">
      <c r="A29">
        <v>67</v>
      </c>
      <c r="B29" s="1" t="s">
        <v>151</v>
      </c>
      <c r="C29">
        <v>1</v>
      </c>
      <c r="D29" s="2">
        <f t="shared" si="0"/>
        <v>5.583333333333333</v>
      </c>
    </row>
    <row r="30" spans="1:4" x14ac:dyDescent="0.25">
      <c r="A30">
        <v>68</v>
      </c>
      <c r="B30" s="1" t="s">
        <v>151</v>
      </c>
      <c r="C30">
        <v>1</v>
      </c>
      <c r="D30" s="2">
        <f t="shared" si="0"/>
        <v>5.666666666666667</v>
      </c>
    </row>
    <row r="31" spans="1:4" x14ac:dyDescent="0.25">
      <c r="A31">
        <v>69</v>
      </c>
      <c r="B31" s="1" t="s">
        <v>151</v>
      </c>
      <c r="C31">
        <v>1</v>
      </c>
      <c r="D31" s="2">
        <f t="shared" si="0"/>
        <v>5.75</v>
      </c>
    </row>
    <row r="32" spans="1:4" x14ac:dyDescent="0.25">
      <c r="A32">
        <v>70</v>
      </c>
      <c r="B32" s="1" t="s">
        <v>151</v>
      </c>
      <c r="C32">
        <v>1</v>
      </c>
      <c r="D32" s="2">
        <f t="shared" si="0"/>
        <v>5.833333333333333</v>
      </c>
    </row>
    <row r="33" spans="1:4" x14ac:dyDescent="0.25">
      <c r="A33">
        <v>71</v>
      </c>
      <c r="B33" s="1" t="s">
        <v>151</v>
      </c>
      <c r="C33">
        <v>1</v>
      </c>
      <c r="D33" s="2">
        <f t="shared" si="0"/>
        <v>5.916666666666667</v>
      </c>
    </row>
    <row r="34" spans="1:4" x14ac:dyDescent="0.25">
      <c r="A34">
        <v>72</v>
      </c>
      <c r="B34" s="1" t="s">
        <v>151</v>
      </c>
      <c r="C34">
        <v>1</v>
      </c>
      <c r="D34" s="2">
        <f t="shared" si="0"/>
        <v>6</v>
      </c>
    </row>
    <row r="35" spans="1:4" x14ac:dyDescent="0.25">
      <c r="A35">
        <v>73</v>
      </c>
      <c r="B35" s="1" t="s">
        <v>151</v>
      </c>
      <c r="C35">
        <v>1</v>
      </c>
      <c r="D35" s="2">
        <f t="shared" si="0"/>
        <v>6.083333333333333</v>
      </c>
    </row>
    <row r="36" spans="1:4" x14ac:dyDescent="0.25">
      <c r="A36">
        <v>74</v>
      </c>
      <c r="B36" s="1" t="s">
        <v>151</v>
      </c>
      <c r="C36">
        <v>1</v>
      </c>
      <c r="D36" s="2">
        <f t="shared" si="0"/>
        <v>6.166666666666667</v>
      </c>
    </row>
    <row r="37" spans="1:4" x14ac:dyDescent="0.25">
      <c r="A37">
        <v>75</v>
      </c>
      <c r="B37" s="1" t="s">
        <v>151</v>
      </c>
      <c r="C37">
        <v>1</v>
      </c>
      <c r="D37" s="2">
        <f t="shared" si="0"/>
        <v>6.25</v>
      </c>
    </row>
    <row r="38" spans="1:4" x14ac:dyDescent="0.25">
      <c r="A38">
        <v>76</v>
      </c>
      <c r="B38" s="1" t="s">
        <v>151</v>
      </c>
      <c r="C38">
        <v>2</v>
      </c>
      <c r="D38" s="2">
        <f>A38/11</f>
        <v>6.9090909090909092</v>
      </c>
    </row>
    <row r="39" spans="1:4" x14ac:dyDescent="0.25">
      <c r="A39">
        <v>77</v>
      </c>
      <c r="B39" s="1" t="s">
        <v>151</v>
      </c>
      <c r="C39">
        <v>2</v>
      </c>
      <c r="D39" s="2">
        <f t="shared" ref="D39:D52" si="1">A39/11</f>
        <v>7</v>
      </c>
    </row>
    <row r="40" spans="1:4" x14ac:dyDescent="0.25">
      <c r="A40">
        <v>78</v>
      </c>
      <c r="B40" s="1" t="s">
        <v>151</v>
      </c>
      <c r="C40">
        <v>2</v>
      </c>
      <c r="D40" s="2">
        <f t="shared" si="1"/>
        <v>7.0909090909090908</v>
      </c>
    </row>
    <row r="41" spans="1:4" x14ac:dyDescent="0.25">
      <c r="A41">
        <v>79</v>
      </c>
      <c r="B41" s="1" t="s">
        <v>151</v>
      </c>
      <c r="C41">
        <v>2</v>
      </c>
      <c r="D41" s="2">
        <f t="shared" si="1"/>
        <v>7.1818181818181817</v>
      </c>
    </row>
    <row r="42" spans="1:4" x14ac:dyDescent="0.25">
      <c r="A42">
        <v>80</v>
      </c>
      <c r="B42" s="1" t="s">
        <v>151</v>
      </c>
      <c r="C42">
        <v>2</v>
      </c>
      <c r="D42" s="2">
        <f t="shared" si="1"/>
        <v>7.2727272727272725</v>
      </c>
    </row>
    <row r="43" spans="1:4" x14ac:dyDescent="0.25">
      <c r="A43">
        <v>81</v>
      </c>
      <c r="B43" s="1" t="s">
        <v>151</v>
      </c>
      <c r="C43">
        <v>2</v>
      </c>
      <c r="D43" s="2">
        <f t="shared" si="1"/>
        <v>7.3636363636363633</v>
      </c>
    </row>
    <row r="44" spans="1:4" x14ac:dyDescent="0.25">
      <c r="A44">
        <v>82</v>
      </c>
      <c r="B44" s="1" t="s">
        <v>151</v>
      </c>
      <c r="C44">
        <v>2</v>
      </c>
      <c r="D44" s="2">
        <f t="shared" si="1"/>
        <v>7.4545454545454541</v>
      </c>
    </row>
    <row r="45" spans="1:4" x14ac:dyDescent="0.25">
      <c r="A45">
        <v>83</v>
      </c>
      <c r="B45" s="1" t="s">
        <v>151</v>
      </c>
      <c r="C45">
        <v>2</v>
      </c>
      <c r="D45" s="2">
        <f t="shared" si="1"/>
        <v>7.5454545454545459</v>
      </c>
    </row>
    <row r="46" spans="1:4" x14ac:dyDescent="0.25">
      <c r="A46">
        <v>84</v>
      </c>
      <c r="B46" s="1" t="s">
        <v>151</v>
      </c>
      <c r="C46">
        <v>2</v>
      </c>
      <c r="D46" s="2">
        <f t="shared" si="1"/>
        <v>7.6363636363636367</v>
      </c>
    </row>
    <row r="47" spans="1:4" x14ac:dyDescent="0.25">
      <c r="A47">
        <v>85</v>
      </c>
      <c r="B47" s="1" t="s">
        <v>151</v>
      </c>
      <c r="C47">
        <v>2</v>
      </c>
      <c r="D47" s="2">
        <f t="shared" si="1"/>
        <v>7.7272727272727275</v>
      </c>
    </row>
    <row r="48" spans="1:4" x14ac:dyDescent="0.25">
      <c r="A48">
        <v>86</v>
      </c>
      <c r="B48" s="1" t="s">
        <v>151</v>
      </c>
      <c r="C48">
        <v>2</v>
      </c>
      <c r="D48" s="2">
        <f t="shared" si="1"/>
        <v>7.8181818181818183</v>
      </c>
    </row>
    <row r="49" spans="1:4" x14ac:dyDescent="0.25">
      <c r="A49">
        <v>87</v>
      </c>
      <c r="B49" s="1" t="s">
        <v>151</v>
      </c>
      <c r="C49">
        <v>2</v>
      </c>
      <c r="D49" s="2">
        <f t="shared" si="1"/>
        <v>7.9090909090909092</v>
      </c>
    </row>
    <row r="50" spans="1:4" x14ac:dyDescent="0.25">
      <c r="A50">
        <v>88</v>
      </c>
      <c r="B50" s="1" t="s">
        <v>151</v>
      </c>
      <c r="C50">
        <v>2</v>
      </c>
      <c r="D50" s="2">
        <f t="shared" si="1"/>
        <v>8</v>
      </c>
    </row>
    <row r="51" spans="1:4" x14ac:dyDescent="0.25">
      <c r="A51">
        <v>89</v>
      </c>
      <c r="B51" s="1" t="s">
        <v>151</v>
      </c>
      <c r="C51">
        <v>2</v>
      </c>
      <c r="D51" s="2">
        <f t="shared" si="1"/>
        <v>8.0909090909090917</v>
      </c>
    </row>
    <row r="52" spans="1:4" x14ac:dyDescent="0.25">
      <c r="A52">
        <v>90</v>
      </c>
      <c r="B52" s="1" t="s">
        <v>151</v>
      </c>
      <c r="C52">
        <v>2</v>
      </c>
      <c r="D52" s="2">
        <f t="shared" si="1"/>
        <v>8.1818181818181817</v>
      </c>
    </row>
    <row r="53" spans="1:4" x14ac:dyDescent="0.25">
      <c r="A53">
        <v>91</v>
      </c>
      <c r="B53" s="1" t="s">
        <v>151</v>
      </c>
      <c r="C53">
        <v>3</v>
      </c>
      <c r="D53" s="2">
        <f>A53/10</f>
        <v>9.1</v>
      </c>
    </row>
    <row r="54" spans="1:4" x14ac:dyDescent="0.25">
      <c r="A54">
        <v>92</v>
      </c>
      <c r="B54" s="1" t="s">
        <v>151</v>
      </c>
      <c r="C54">
        <v>3</v>
      </c>
      <c r="D54" s="2">
        <f t="shared" ref="D54:D77" si="2">A54/10</f>
        <v>9.1999999999999993</v>
      </c>
    </row>
    <row r="55" spans="1:4" x14ac:dyDescent="0.25">
      <c r="A55">
        <v>93</v>
      </c>
      <c r="B55" s="1" t="s">
        <v>151</v>
      </c>
      <c r="C55">
        <v>3</v>
      </c>
      <c r="D55" s="2">
        <f t="shared" si="2"/>
        <v>9.3000000000000007</v>
      </c>
    </row>
    <row r="56" spans="1:4" x14ac:dyDescent="0.25">
      <c r="A56">
        <v>94</v>
      </c>
      <c r="B56" s="1" t="s">
        <v>151</v>
      </c>
      <c r="C56">
        <v>3</v>
      </c>
      <c r="D56" s="2">
        <f t="shared" si="2"/>
        <v>9.4</v>
      </c>
    </row>
    <row r="57" spans="1:4" x14ac:dyDescent="0.25">
      <c r="A57">
        <v>95</v>
      </c>
      <c r="B57" s="1" t="s">
        <v>151</v>
      </c>
      <c r="C57">
        <v>3</v>
      </c>
      <c r="D57" s="2">
        <f t="shared" si="2"/>
        <v>9.5</v>
      </c>
    </row>
    <row r="58" spans="1:4" x14ac:dyDescent="0.25">
      <c r="A58">
        <v>96</v>
      </c>
      <c r="B58" s="1" t="s">
        <v>151</v>
      </c>
      <c r="C58">
        <v>3</v>
      </c>
      <c r="D58" s="2">
        <f t="shared" si="2"/>
        <v>9.6</v>
      </c>
    </row>
    <row r="59" spans="1:4" x14ac:dyDescent="0.25">
      <c r="A59">
        <v>97</v>
      </c>
      <c r="B59" s="1" t="s">
        <v>151</v>
      </c>
      <c r="C59">
        <v>3</v>
      </c>
      <c r="D59" s="2">
        <f t="shared" si="2"/>
        <v>9.6999999999999993</v>
      </c>
    </row>
    <row r="60" spans="1:4" x14ac:dyDescent="0.25">
      <c r="A60">
        <v>98</v>
      </c>
      <c r="B60" s="1" t="s">
        <v>151</v>
      </c>
      <c r="C60">
        <v>3</v>
      </c>
      <c r="D60" s="2">
        <f t="shared" si="2"/>
        <v>9.8000000000000007</v>
      </c>
    </row>
    <row r="61" spans="1:4" x14ac:dyDescent="0.25">
      <c r="A61">
        <v>99</v>
      </c>
      <c r="B61" s="1" t="s">
        <v>151</v>
      </c>
      <c r="C61">
        <v>3</v>
      </c>
      <c r="D61" s="2">
        <f t="shared" si="2"/>
        <v>9.9</v>
      </c>
    </row>
    <row r="62" spans="1:4" x14ac:dyDescent="0.25">
      <c r="A62">
        <v>100</v>
      </c>
      <c r="B62" s="1" t="s">
        <v>151</v>
      </c>
      <c r="C62">
        <v>3</v>
      </c>
      <c r="D62" s="2">
        <f t="shared" si="2"/>
        <v>10</v>
      </c>
    </row>
    <row r="63" spans="1:4" x14ac:dyDescent="0.25">
      <c r="A63">
        <v>101</v>
      </c>
      <c r="B63">
        <v>30</v>
      </c>
      <c r="C63">
        <v>3</v>
      </c>
      <c r="D63" s="2">
        <f t="shared" si="2"/>
        <v>10.1</v>
      </c>
    </row>
    <row r="64" spans="1:4" x14ac:dyDescent="0.25">
      <c r="A64">
        <v>102</v>
      </c>
      <c r="B64">
        <v>30</v>
      </c>
      <c r="C64">
        <v>3</v>
      </c>
      <c r="D64" s="2">
        <f t="shared" si="2"/>
        <v>10.199999999999999</v>
      </c>
    </row>
    <row r="65" spans="1:4" x14ac:dyDescent="0.25">
      <c r="A65">
        <v>103</v>
      </c>
      <c r="B65">
        <v>30</v>
      </c>
      <c r="C65">
        <v>3</v>
      </c>
      <c r="D65" s="2">
        <f t="shared" si="2"/>
        <v>10.3</v>
      </c>
    </row>
    <row r="66" spans="1:4" x14ac:dyDescent="0.25">
      <c r="A66">
        <v>104</v>
      </c>
      <c r="B66">
        <v>30</v>
      </c>
      <c r="C66">
        <v>3</v>
      </c>
      <c r="D66" s="2">
        <f t="shared" si="2"/>
        <v>10.4</v>
      </c>
    </row>
    <row r="67" spans="1:4" x14ac:dyDescent="0.25">
      <c r="A67">
        <v>105</v>
      </c>
      <c r="B67">
        <v>30</v>
      </c>
      <c r="C67">
        <v>3</v>
      </c>
      <c r="D67" s="2">
        <f t="shared" si="2"/>
        <v>10.5</v>
      </c>
    </row>
    <row r="68" spans="1:4" x14ac:dyDescent="0.25">
      <c r="A68">
        <v>106</v>
      </c>
      <c r="B68">
        <v>30</v>
      </c>
      <c r="C68">
        <v>3</v>
      </c>
      <c r="D68" s="2">
        <f t="shared" si="2"/>
        <v>10.6</v>
      </c>
    </row>
    <row r="69" spans="1:4" x14ac:dyDescent="0.25">
      <c r="A69">
        <v>107</v>
      </c>
      <c r="B69">
        <v>30</v>
      </c>
      <c r="C69">
        <v>3</v>
      </c>
      <c r="D69" s="2">
        <f t="shared" si="2"/>
        <v>10.7</v>
      </c>
    </row>
    <row r="70" spans="1:4" x14ac:dyDescent="0.25">
      <c r="A70">
        <v>108</v>
      </c>
      <c r="B70">
        <v>30</v>
      </c>
      <c r="C70">
        <v>3</v>
      </c>
      <c r="D70" s="2">
        <f t="shared" si="2"/>
        <v>10.8</v>
      </c>
    </row>
    <row r="71" spans="1:4" x14ac:dyDescent="0.25">
      <c r="A71">
        <v>109</v>
      </c>
      <c r="B71">
        <v>30</v>
      </c>
      <c r="C71">
        <v>3</v>
      </c>
      <c r="D71" s="2">
        <f t="shared" si="2"/>
        <v>10.9</v>
      </c>
    </row>
    <row r="72" spans="1:4" x14ac:dyDescent="0.25">
      <c r="A72">
        <v>110</v>
      </c>
      <c r="B72">
        <v>30</v>
      </c>
      <c r="C72">
        <v>3</v>
      </c>
      <c r="D72" s="2">
        <f t="shared" si="2"/>
        <v>11</v>
      </c>
    </row>
    <row r="73" spans="1:4" x14ac:dyDescent="0.25">
      <c r="A73">
        <v>111</v>
      </c>
      <c r="B73">
        <v>30</v>
      </c>
      <c r="C73">
        <v>3</v>
      </c>
      <c r="D73" s="2">
        <f t="shared" si="2"/>
        <v>11.1</v>
      </c>
    </row>
    <row r="74" spans="1:4" x14ac:dyDescent="0.25">
      <c r="A74">
        <v>112</v>
      </c>
      <c r="B74">
        <v>30</v>
      </c>
      <c r="C74">
        <v>3</v>
      </c>
      <c r="D74" s="2">
        <f t="shared" si="2"/>
        <v>11.2</v>
      </c>
    </row>
    <row r="75" spans="1:4" x14ac:dyDescent="0.25">
      <c r="A75">
        <v>113</v>
      </c>
      <c r="B75">
        <v>30</v>
      </c>
      <c r="C75">
        <v>3</v>
      </c>
      <c r="D75" s="2">
        <f t="shared" si="2"/>
        <v>11.3</v>
      </c>
    </row>
    <row r="76" spans="1:4" x14ac:dyDescent="0.25">
      <c r="A76">
        <v>114</v>
      </c>
      <c r="B76">
        <v>30</v>
      </c>
      <c r="C76">
        <v>3</v>
      </c>
      <c r="D76" s="2">
        <f t="shared" si="2"/>
        <v>11.4</v>
      </c>
    </row>
    <row r="77" spans="1:4" x14ac:dyDescent="0.25">
      <c r="A77">
        <v>115</v>
      </c>
      <c r="B77">
        <v>30</v>
      </c>
      <c r="C77">
        <v>3</v>
      </c>
      <c r="D77" s="2">
        <f t="shared" si="2"/>
        <v>11.5</v>
      </c>
    </row>
    <row r="78" spans="1:4" x14ac:dyDescent="0.25">
      <c r="A78">
        <v>116</v>
      </c>
      <c r="B78">
        <v>40</v>
      </c>
      <c r="C78">
        <v>3</v>
      </c>
      <c r="D78" s="2">
        <f>A78/9</f>
        <v>12.888888888888889</v>
      </c>
    </row>
    <row r="79" spans="1:4" x14ac:dyDescent="0.25">
      <c r="A79">
        <v>117</v>
      </c>
      <c r="B79">
        <v>40</v>
      </c>
      <c r="C79">
        <v>3</v>
      </c>
      <c r="D79" s="2">
        <f t="shared" ref="D79:D107" si="3">A79/9</f>
        <v>13</v>
      </c>
    </row>
    <row r="80" spans="1:4" x14ac:dyDescent="0.25">
      <c r="A80">
        <v>118</v>
      </c>
      <c r="B80">
        <v>40</v>
      </c>
      <c r="C80">
        <v>3</v>
      </c>
      <c r="D80" s="2">
        <f t="shared" si="3"/>
        <v>13.111111111111111</v>
      </c>
    </row>
    <row r="81" spans="1:4" x14ac:dyDescent="0.25">
      <c r="A81">
        <v>119</v>
      </c>
      <c r="B81">
        <v>40</v>
      </c>
      <c r="C81">
        <v>3</v>
      </c>
      <c r="D81" s="2">
        <f t="shared" si="3"/>
        <v>13.222222222222221</v>
      </c>
    </row>
    <row r="82" spans="1:4" x14ac:dyDescent="0.25">
      <c r="A82">
        <v>120</v>
      </c>
      <c r="B82">
        <v>40</v>
      </c>
      <c r="C82">
        <v>3</v>
      </c>
      <c r="D82" s="2">
        <f t="shared" si="3"/>
        <v>13.333333333333334</v>
      </c>
    </row>
    <row r="83" spans="1:4" x14ac:dyDescent="0.25">
      <c r="A83">
        <v>121</v>
      </c>
      <c r="B83">
        <v>40</v>
      </c>
      <c r="C83">
        <v>3</v>
      </c>
      <c r="D83" s="2">
        <f t="shared" si="3"/>
        <v>13.444444444444445</v>
      </c>
    </row>
    <row r="84" spans="1:4" x14ac:dyDescent="0.25">
      <c r="A84">
        <v>122</v>
      </c>
      <c r="B84">
        <v>40</v>
      </c>
      <c r="C84">
        <v>3</v>
      </c>
      <c r="D84" s="2">
        <f t="shared" si="3"/>
        <v>13.555555555555555</v>
      </c>
    </row>
    <row r="85" spans="1:4" x14ac:dyDescent="0.25">
      <c r="A85">
        <v>123</v>
      </c>
      <c r="B85">
        <v>40</v>
      </c>
      <c r="C85">
        <v>3</v>
      </c>
      <c r="D85" s="2">
        <f t="shared" si="3"/>
        <v>13.666666666666666</v>
      </c>
    </row>
    <row r="86" spans="1:4" x14ac:dyDescent="0.25">
      <c r="A86">
        <v>124</v>
      </c>
      <c r="B86">
        <v>40</v>
      </c>
      <c r="C86">
        <v>3</v>
      </c>
      <c r="D86" s="2">
        <f t="shared" si="3"/>
        <v>13.777777777777779</v>
      </c>
    </row>
    <row r="87" spans="1:4" x14ac:dyDescent="0.25">
      <c r="A87">
        <v>125</v>
      </c>
      <c r="B87">
        <v>40</v>
      </c>
      <c r="C87">
        <v>3</v>
      </c>
      <c r="D87" s="2">
        <f t="shared" si="3"/>
        <v>13.888888888888889</v>
      </c>
    </row>
    <row r="88" spans="1:4" x14ac:dyDescent="0.25">
      <c r="A88">
        <v>126</v>
      </c>
      <c r="B88">
        <v>40</v>
      </c>
      <c r="C88">
        <v>3</v>
      </c>
      <c r="D88" s="2">
        <f t="shared" si="3"/>
        <v>14</v>
      </c>
    </row>
    <row r="89" spans="1:4" x14ac:dyDescent="0.25">
      <c r="A89">
        <v>127</v>
      </c>
      <c r="B89">
        <v>40</v>
      </c>
      <c r="C89">
        <v>3</v>
      </c>
      <c r="D89" s="2">
        <f t="shared" si="3"/>
        <v>14.111111111111111</v>
      </c>
    </row>
    <row r="90" spans="1:4" x14ac:dyDescent="0.25">
      <c r="A90">
        <v>128</v>
      </c>
      <c r="B90">
        <v>40</v>
      </c>
      <c r="C90">
        <v>3</v>
      </c>
      <c r="D90" s="2">
        <f t="shared" si="3"/>
        <v>14.222222222222221</v>
      </c>
    </row>
    <row r="91" spans="1:4" x14ac:dyDescent="0.25">
      <c r="A91">
        <v>129</v>
      </c>
      <c r="B91">
        <v>40</v>
      </c>
      <c r="C91">
        <v>3</v>
      </c>
      <c r="D91" s="2">
        <f t="shared" si="3"/>
        <v>14.333333333333334</v>
      </c>
    </row>
    <row r="92" spans="1:4" x14ac:dyDescent="0.25">
      <c r="A92">
        <v>130</v>
      </c>
      <c r="B92">
        <v>40</v>
      </c>
      <c r="C92">
        <v>3</v>
      </c>
      <c r="D92" s="2">
        <f t="shared" si="3"/>
        <v>14.444444444444445</v>
      </c>
    </row>
    <row r="93" spans="1:4" x14ac:dyDescent="0.25">
      <c r="A93">
        <v>131</v>
      </c>
      <c r="B93">
        <v>50</v>
      </c>
      <c r="C93">
        <v>4</v>
      </c>
      <c r="D93" s="2">
        <f t="shared" si="3"/>
        <v>14.555555555555555</v>
      </c>
    </row>
    <row r="94" spans="1:4" x14ac:dyDescent="0.25">
      <c r="A94">
        <v>132</v>
      </c>
      <c r="B94">
        <v>50</v>
      </c>
      <c r="C94">
        <v>4</v>
      </c>
      <c r="D94" s="2">
        <f t="shared" si="3"/>
        <v>14.666666666666666</v>
      </c>
    </row>
    <row r="95" spans="1:4" x14ac:dyDescent="0.25">
      <c r="A95">
        <v>133</v>
      </c>
      <c r="B95">
        <v>50</v>
      </c>
      <c r="C95">
        <v>4</v>
      </c>
      <c r="D95" s="2">
        <f t="shared" si="3"/>
        <v>14.777777777777779</v>
      </c>
    </row>
    <row r="96" spans="1:4" x14ac:dyDescent="0.25">
      <c r="A96">
        <v>134</v>
      </c>
      <c r="B96">
        <v>50</v>
      </c>
      <c r="C96">
        <v>4</v>
      </c>
      <c r="D96" s="2">
        <f t="shared" si="3"/>
        <v>14.888888888888889</v>
      </c>
    </row>
    <row r="97" spans="1:4" x14ac:dyDescent="0.25">
      <c r="A97">
        <v>135</v>
      </c>
      <c r="B97">
        <v>50</v>
      </c>
      <c r="C97">
        <v>4</v>
      </c>
      <c r="D97" s="2">
        <f t="shared" si="3"/>
        <v>15</v>
      </c>
    </row>
    <row r="98" spans="1:4" x14ac:dyDescent="0.25">
      <c r="A98">
        <v>136</v>
      </c>
      <c r="B98">
        <v>50</v>
      </c>
      <c r="C98">
        <v>4</v>
      </c>
      <c r="D98" s="2">
        <f t="shared" si="3"/>
        <v>15.111111111111111</v>
      </c>
    </row>
    <row r="99" spans="1:4" x14ac:dyDescent="0.25">
      <c r="A99">
        <v>137</v>
      </c>
      <c r="B99">
        <v>50</v>
      </c>
      <c r="C99">
        <v>4</v>
      </c>
      <c r="D99" s="2">
        <f t="shared" si="3"/>
        <v>15.222222222222221</v>
      </c>
    </row>
    <row r="100" spans="1:4" x14ac:dyDescent="0.25">
      <c r="A100">
        <v>138</v>
      </c>
      <c r="B100">
        <v>50</v>
      </c>
      <c r="C100">
        <v>4</v>
      </c>
      <c r="D100" s="2">
        <f t="shared" si="3"/>
        <v>15.333333333333334</v>
      </c>
    </row>
    <row r="101" spans="1:4" x14ac:dyDescent="0.25">
      <c r="A101">
        <v>139</v>
      </c>
      <c r="B101">
        <v>50</v>
      </c>
      <c r="C101">
        <v>4</v>
      </c>
      <c r="D101" s="2">
        <f t="shared" si="3"/>
        <v>15.444444444444445</v>
      </c>
    </row>
    <row r="102" spans="1:4" x14ac:dyDescent="0.25">
      <c r="A102">
        <v>140</v>
      </c>
      <c r="B102">
        <v>50</v>
      </c>
      <c r="C102">
        <v>4</v>
      </c>
      <c r="D102" s="2">
        <f t="shared" si="3"/>
        <v>15.555555555555555</v>
      </c>
    </row>
    <row r="103" spans="1:4" x14ac:dyDescent="0.25">
      <c r="A103">
        <v>141</v>
      </c>
      <c r="B103">
        <v>50</v>
      </c>
      <c r="C103">
        <v>4</v>
      </c>
      <c r="D103" s="2">
        <f t="shared" si="3"/>
        <v>15.666666666666666</v>
      </c>
    </row>
    <row r="104" spans="1:4" x14ac:dyDescent="0.25">
      <c r="A104">
        <v>142</v>
      </c>
      <c r="B104">
        <v>50</v>
      </c>
      <c r="C104">
        <v>4</v>
      </c>
      <c r="D104" s="2">
        <f t="shared" si="3"/>
        <v>15.777777777777779</v>
      </c>
    </row>
    <row r="105" spans="1:4" x14ac:dyDescent="0.25">
      <c r="A105">
        <v>143</v>
      </c>
      <c r="B105">
        <v>50</v>
      </c>
      <c r="C105">
        <v>4</v>
      </c>
      <c r="D105" s="2">
        <f t="shared" si="3"/>
        <v>15.888888888888889</v>
      </c>
    </row>
    <row r="106" spans="1:4" x14ac:dyDescent="0.25">
      <c r="A106">
        <v>144</v>
      </c>
      <c r="B106">
        <v>50</v>
      </c>
      <c r="C106">
        <v>4</v>
      </c>
      <c r="D106" s="2">
        <f t="shared" si="3"/>
        <v>16</v>
      </c>
    </row>
    <row r="107" spans="1:4" x14ac:dyDescent="0.25">
      <c r="A107">
        <v>145</v>
      </c>
      <c r="B107">
        <v>50</v>
      </c>
      <c r="C107">
        <v>4</v>
      </c>
      <c r="D107" s="2">
        <f t="shared" si="3"/>
        <v>16.111111111111111</v>
      </c>
    </row>
    <row r="108" spans="1:4" x14ac:dyDescent="0.25">
      <c r="A108">
        <v>146</v>
      </c>
      <c r="B108">
        <v>55</v>
      </c>
      <c r="C108">
        <v>4</v>
      </c>
      <c r="D108" s="2">
        <f>A108/8</f>
        <v>18.25</v>
      </c>
    </row>
    <row r="109" spans="1:4" x14ac:dyDescent="0.25">
      <c r="A109">
        <v>147</v>
      </c>
      <c r="B109">
        <v>55</v>
      </c>
      <c r="C109">
        <v>4</v>
      </c>
      <c r="D109" s="2">
        <f t="shared" ref="D109:D137" si="4">A109/8</f>
        <v>18.375</v>
      </c>
    </row>
    <row r="110" spans="1:4" x14ac:dyDescent="0.25">
      <c r="A110">
        <v>148</v>
      </c>
      <c r="B110">
        <v>55</v>
      </c>
      <c r="C110">
        <v>4</v>
      </c>
      <c r="D110" s="2">
        <f t="shared" si="4"/>
        <v>18.5</v>
      </c>
    </row>
    <row r="111" spans="1:4" x14ac:dyDescent="0.25">
      <c r="A111">
        <v>149</v>
      </c>
      <c r="B111">
        <v>55</v>
      </c>
      <c r="C111">
        <v>4</v>
      </c>
      <c r="D111" s="2">
        <f t="shared" si="4"/>
        <v>18.625</v>
      </c>
    </row>
    <row r="112" spans="1:4" x14ac:dyDescent="0.25">
      <c r="A112">
        <v>150</v>
      </c>
      <c r="B112">
        <v>55</v>
      </c>
      <c r="C112">
        <v>4</v>
      </c>
      <c r="D112" s="2">
        <f t="shared" si="4"/>
        <v>18.75</v>
      </c>
    </row>
    <row r="113" spans="1:4" x14ac:dyDescent="0.25">
      <c r="A113">
        <v>151</v>
      </c>
      <c r="B113">
        <v>55</v>
      </c>
      <c r="C113">
        <v>4</v>
      </c>
      <c r="D113" s="2">
        <f t="shared" si="4"/>
        <v>18.875</v>
      </c>
    </row>
    <row r="114" spans="1:4" x14ac:dyDescent="0.25">
      <c r="A114">
        <v>152</v>
      </c>
      <c r="B114">
        <v>55</v>
      </c>
      <c r="C114">
        <v>4</v>
      </c>
      <c r="D114" s="2">
        <f t="shared" si="4"/>
        <v>19</v>
      </c>
    </row>
    <row r="115" spans="1:4" x14ac:dyDescent="0.25">
      <c r="A115">
        <v>153</v>
      </c>
      <c r="B115">
        <v>55</v>
      </c>
      <c r="C115">
        <v>4</v>
      </c>
      <c r="D115" s="2">
        <f t="shared" si="4"/>
        <v>19.125</v>
      </c>
    </row>
    <row r="116" spans="1:4" x14ac:dyDescent="0.25">
      <c r="A116">
        <v>154</v>
      </c>
      <c r="B116">
        <v>55</v>
      </c>
      <c r="C116">
        <v>4</v>
      </c>
      <c r="D116" s="2">
        <f t="shared" si="4"/>
        <v>19.25</v>
      </c>
    </row>
    <row r="117" spans="1:4" x14ac:dyDescent="0.25">
      <c r="A117">
        <v>155</v>
      </c>
      <c r="B117">
        <v>55</v>
      </c>
      <c r="C117">
        <v>4</v>
      </c>
      <c r="D117" s="2">
        <f t="shared" si="4"/>
        <v>19.375</v>
      </c>
    </row>
    <row r="118" spans="1:4" x14ac:dyDescent="0.25">
      <c r="A118">
        <v>156</v>
      </c>
      <c r="B118">
        <v>55</v>
      </c>
      <c r="C118">
        <v>4</v>
      </c>
      <c r="D118" s="2">
        <f t="shared" si="4"/>
        <v>19.5</v>
      </c>
    </row>
    <row r="119" spans="1:4" x14ac:dyDescent="0.25">
      <c r="A119">
        <v>157</v>
      </c>
      <c r="B119">
        <v>55</v>
      </c>
      <c r="C119">
        <v>4</v>
      </c>
      <c r="D119" s="2">
        <f t="shared" si="4"/>
        <v>19.625</v>
      </c>
    </row>
    <row r="120" spans="1:4" x14ac:dyDescent="0.25">
      <c r="A120">
        <v>158</v>
      </c>
      <c r="B120">
        <v>55</v>
      </c>
      <c r="C120">
        <v>4</v>
      </c>
      <c r="D120" s="2">
        <f t="shared" si="4"/>
        <v>19.75</v>
      </c>
    </row>
    <row r="121" spans="1:4" x14ac:dyDescent="0.25">
      <c r="A121">
        <v>159</v>
      </c>
      <c r="B121">
        <v>55</v>
      </c>
      <c r="C121">
        <v>4</v>
      </c>
      <c r="D121" s="2">
        <f t="shared" si="4"/>
        <v>19.875</v>
      </c>
    </row>
    <row r="122" spans="1:4" x14ac:dyDescent="0.25">
      <c r="A122">
        <v>160</v>
      </c>
      <c r="B122">
        <v>55</v>
      </c>
      <c r="C122">
        <v>4</v>
      </c>
      <c r="D122" s="2">
        <f t="shared" si="4"/>
        <v>20</v>
      </c>
    </row>
    <row r="123" spans="1:4" x14ac:dyDescent="0.25">
      <c r="A123">
        <v>161</v>
      </c>
      <c r="B123">
        <v>60</v>
      </c>
      <c r="C123">
        <v>4</v>
      </c>
      <c r="D123" s="2">
        <f t="shared" si="4"/>
        <v>20.125</v>
      </c>
    </row>
    <row r="124" spans="1:4" x14ac:dyDescent="0.25">
      <c r="A124">
        <v>162</v>
      </c>
      <c r="B124">
        <v>60</v>
      </c>
      <c r="C124">
        <v>4</v>
      </c>
      <c r="D124" s="2">
        <f t="shared" si="4"/>
        <v>20.25</v>
      </c>
    </row>
    <row r="125" spans="1:4" x14ac:dyDescent="0.25">
      <c r="A125">
        <v>163</v>
      </c>
      <c r="B125">
        <v>60</v>
      </c>
      <c r="C125">
        <v>4</v>
      </c>
      <c r="D125" s="2">
        <f t="shared" si="4"/>
        <v>20.375</v>
      </c>
    </row>
    <row r="126" spans="1:4" x14ac:dyDescent="0.25">
      <c r="A126">
        <v>164</v>
      </c>
      <c r="B126">
        <v>60</v>
      </c>
      <c r="C126">
        <v>4</v>
      </c>
      <c r="D126" s="2">
        <f t="shared" si="4"/>
        <v>20.5</v>
      </c>
    </row>
    <row r="127" spans="1:4" x14ac:dyDescent="0.25">
      <c r="A127">
        <v>165</v>
      </c>
      <c r="B127">
        <v>60</v>
      </c>
      <c r="C127">
        <v>4</v>
      </c>
      <c r="D127" s="2">
        <f t="shared" si="4"/>
        <v>20.625</v>
      </c>
    </row>
    <row r="128" spans="1:4" x14ac:dyDescent="0.25">
      <c r="A128">
        <v>166</v>
      </c>
      <c r="B128">
        <v>60</v>
      </c>
      <c r="C128">
        <v>4</v>
      </c>
      <c r="D128" s="2">
        <f t="shared" si="4"/>
        <v>20.75</v>
      </c>
    </row>
    <row r="129" spans="1:4" x14ac:dyDescent="0.25">
      <c r="A129">
        <v>167</v>
      </c>
      <c r="B129">
        <v>60</v>
      </c>
      <c r="C129">
        <v>4</v>
      </c>
      <c r="D129" s="2">
        <f t="shared" si="4"/>
        <v>20.875</v>
      </c>
    </row>
    <row r="130" spans="1:4" x14ac:dyDescent="0.25">
      <c r="A130">
        <v>168</v>
      </c>
      <c r="B130">
        <v>60</v>
      </c>
      <c r="C130">
        <v>4</v>
      </c>
      <c r="D130" s="2">
        <f t="shared" si="4"/>
        <v>21</v>
      </c>
    </row>
    <row r="131" spans="1:4" x14ac:dyDescent="0.25">
      <c r="A131">
        <v>169</v>
      </c>
      <c r="B131">
        <v>60</v>
      </c>
      <c r="C131">
        <v>4</v>
      </c>
      <c r="D131" s="2">
        <f t="shared" si="4"/>
        <v>21.125</v>
      </c>
    </row>
    <row r="132" spans="1:4" x14ac:dyDescent="0.25">
      <c r="A132">
        <v>170</v>
      </c>
      <c r="B132">
        <v>60</v>
      </c>
      <c r="C132">
        <v>4</v>
      </c>
      <c r="D132" s="2">
        <f t="shared" si="4"/>
        <v>21.25</v>
      </c>
    </row>
    <row r="133" spans="1:4" x14ac:dyDescent="0.25">
      <c r="A133">
        <v>171</v>
      </c>
      <c r="B133">
        <v>60</v>
      </c>
      <c r="C133">
        <v>4</v>
      </c>
      <c r="D133" s="2">
        <f t="shared" si="4"/>
        <v>21.375</v>
      </c>
    </row>
    <row r="134" spans="1:4" x14ac:dyDescent="0.25">
      <c r="A134">
        <v>172</v>
      </c>
      <c r="B134">
        <v>60</v>
      </c>
      <c r="C134">
        <v>4</v>
      </c>
      <c r="D134" s="2">
        <f t="shared" si="4"/>
        <v>21.5</v>
      </c>
    </row>
    <row r="135" spans="1:4" x14ac:dyDescent="0.25">
      <c r="A135">
        <v>173</v>
      </c>
      <c r="B135">
        <v>60</v>
      </c>
      <c r="C135">
        <v>4</v>
      </c>
      <c r="D135" s="2">
        <f t="shared" si="4"/>
        <v>21.625</v>
      </c>
    </row>
    <row r="136" spans="1:4" x14ac:dyDescent="0.25">
      <c r="A136">
        <v>174</v>
      </c>
      <c r="B136">
        <v>60</v>
      </c>
      <c r="C136">
        <v>4</v>
      </c>
      <c r="D136" s="2">
        <f t="shared" si="4"/>
        <v>21.75</v>
      </c>
    </row>
    <row r="137" spans="1:4" x14ac:dyDescent="0.25">
      <c r="A137">
        <v>175</v>
      </c>
      <c r="B137">
        <v>60</v>
      </c>
      <c r="C137">
        <v>4</v>
      </c>
      <c r="D137" s="2">
        <f t="shared" si="4"/>
        <v>21.875</v>
      </c>
    </row>
    <row r="138" spans="1:4" x14ac:dyDescent="0.25">
      <c r="A138">
        <v>176</v>
      </c>
      <c r="B138">
        <v>65</v>
      </c>
      <c r="C138">
        <v>5</v>
      </c>
      <c r="D138" s="2">
        <f>A138/7</f>
        <v>25.142857142857142</v>
      </c>
    </row>
    <row r="139" spans="1:4" x14ac:dyDescent="0.25">
      <c r="A139">
        <v>177</v>
      </c>
      <c r="B139">
        <v>65</v>
      </c>
      <c r="C139">
        <v>5</v>
      </c>
      <c r="D139" s="2">
        <f t="shared" ref="D139:D152" si="5">A139/7</f>
        <v>25.285714285714285</v>
      </c>
    </row>
    <row r="140" spans="1:4" x14ac:dyDescent="0.25">
      <c r="A140">
        <v>178</v>
      </c>
      <c r="B140">
        <v>65</v>
      </c>
      <c r="C140">
        <v>5</v>
      </c>
      <c r="D140" s="2">
        <f t="shared" si="5"/>
        <v>25.428571428571427</v>
      </c>
    </row>
    <row r="141" spans="1:4" x14ac:dyDescent="0.25">
      <c r="A141">
        <v>179</v>
      </c>
      <c r="B141">
        <v>65</v>
      </c>
      <c r="C141">
        <v>5</v>
      </c>
      <c r="D141" s="2">
        <f t="shared" si="5"/>
        <v>25.571428571428573</v>
      </c>
    </row>
    <row r="142" spans="1:4" x14ac:dyDescent="0.25">
      <c r="A142">
        <v>180</v>
      </c>
      <c r="B142">
        <v>65</v>
      </c>
      <c r="C142">
        <v>5</v>
      </c>
      <c r="D142" s="2">
        <f t="shared" si="5"/>
        <v>25.714285714285715</v>
      </c>
    </row>
    <row r="143" spans="1:4" x14ac:dyDescent="0.25">
      <c r="A143">
        <v>181</v>
      </c>
      <c r="B143">
        <v>65</v>
      </c>
      <c r="C143">
        <v>5</v>
      </c>
      <c r="D143" s="2">
        <f t="shared" si="5"/>
        <v>25.857142857142858</v>
      </c>
    </row>
    <row r="144" spans="1:4" x14ac:dyDescent="0.25">
      <c r="A144">
        <v>182</v>
      </c>
      <c r="B144">
        <v>65</v>
      </c>
      <c r="C144">
        <v>5</v>
      </c>
      <c r="D144" s="2">
        <f t="shared" si="5"/>
        <v>26</v>
      </c>
    </row>
    <row r="145" spans="1:4" x14ac:dyDescent="0.25">
      <c r="A145">
        <v>183</v>
      </c>
      <c r="B145">
        <v>65</v>
      </c>
      <c r="C145">
        <v>5</v>
      </c>
      <c r="D145" s="2">
        <f t="shared" si="5"/>
        <v>26.142857142857142</v>
      </c>
    </row>
    <row r="146" spans="1:4" x14ac:dyDescent="0.25">
      <c r="A146">
        <v>184</v>
      </c>
      <c r="B146">
        <v>65</v>
      </c>
      <c r="C146">
        <v>5</v>
      </c>
      <c r="D146" s="2">
        <f t="shared" si="5"/>
        <v>26.285714285714285</v>
      </c>
    </row>
    <row r="147" spans="1:4" x14ac:dyDescent="0.25">
      <c r="A147">
        <v>185</v>
      </c>
      <c r="B147">
        <v>65</v>
      </c>
      <c r="C147">
        <v>5</v>
      </c>
      <c r="D147" s="2">
        <f t="shared" si="5"/>
        <v>26.428571428571427</v>
      </c>
    </row>
    <row r="148" spans="1:4" x14ac:dyDescent="0.25">
      <c r="A148">
        <v>186</v>
      </c>
      <c r="B148">
        <v>65</v>
      </c>
      <c r="C148">
        <v>5</v>
      </c>
      <c r="D148" s="2">
        <f t="shared" si="5"/>
        <v>26.571428571428573</v>
      </c>
    </row>
    <row r="149" spans="1:4" x14ac:dyDescent="0.25">
      <c r="A149">
        <v>187</v>
      </c>
      <c r="B149">
        <v>65</v>
      </c>
      <c r="C149">
        <v>5</v>
      </c>
      <c r="D149" s="2">
        <f t="shared" si="5"/>
        <v>26.714285714285715</v>
      </c>
    </row>
    <row r="150" spans="1:4" x14ac:dyDescent="0.25">
      <c r="A150">
        <v>188</v>
      </c>
      <c r="B150">
        <v>65</v>
      </c>
      <c r="C150">
        <v>5</v>
      </c>
      <c r="D150" s="2">
        <f t="shared" si="5"/>
        <v>26.857142857142858</v>
      </c>
    </row>
    <row r="151" spans="1:4" x14ac:dyDescent="0.25">
      <c r="A151">
        <v>189</v>
      </c>
      <c r="B151">
        <v>65</v>
      </c>
      <c r="C151">
        <v>5</v>
      </c>
      <c r="D151" s="2">
        <f t="shared" si="5"/>
        <v>27</v>
      </c>
    </row>
    <row r="152" spans="1:4" x14ac:dyDescent="0.25">
      <c r="A152">
        <v>190</v>
      </c>
      <c r="B152">
        <v>65</v>
      </c>
      <c r="C152">
        <v>5</v>
      </c>
      <c r="D152" s="2">
        <f t="shared" si="5"/>
        <v>27.142857142857142</v>
      </c>
    </row>
    <row r="153" spans="1:4" x14ac:dyDescent="0.25">
      <c r="A153">
        <v>191</v>
      </c>
      <c r="B153">
        <v>70</v>
      </c>
      <c r="C153">
        <v>5</v>
      </c>
      <c r="D153" s="2">
        <f>A153/6</f>
        <v>31.833333333333332</v>
      </c>
    </row>
    <row r="154" spans="1:4" x14ac:dyDescent="0.25">
      <c r="A154">
        <v>192</v>
      </c>
      <c r="B154">
        <v>70</v>
      </c>
      <c r="C154">
        <v>5</v>
      </c>
      <c r="D154" s="2">
        <f t="shared" ref="D154:D157" si="6">A154/6</f>
        <v>32</v>
      </c>
    </row>
    <row r="155" spans="1:4" x14ac:dyDescent="0.25">
      <c r="A155">
        <v>193</v>
      </c>
      <c r="B155">
        <v>70</v>
      </c>
      <c r="C155">
        <v>5</v>
      </c>
      <c r="D155" s="2">
        <f t="shared" si="6"/>
        <v>32.166666666666664</v>
      </c>
    </row>
    <row r="156" spans="1:4" x14ac:dyDescent="0.25">
      <c r="A156">
        <v>194</v>
      </c>
      <c r="B156">
        <v>70</v>
      </c>
      <c r="C156">
        <v>5</v>
      </c>
      <c r="D156" s="2">
        <f t="shared" si="6"/>
        <v>32.333333333333336</v>
      </c>
    </row>
    <row r="157" spans="1:4" x14ac:dyDescent="0.25">
      <c r="A157">
        <v>195</v>
      </c>
      <c r="B157">
        <v>70</v>
      </c>
      <c r="C157">
        <v>5</v>
      </c>
      <c r="D157" s="2">
        <f t="shared" si="6"/>
        <v>32.5</v>
      </c>
    </row>
    <row r="158" spans="1:4" x14ac:dyDescent="0.25">
      <c r="A158">
        <v>196</v>
      </c>
      <c r="B158">
        <v>75</v>
      </c>
      <c r="C158">
        <v>5</v>
      </c>
      <c r="D158" s="2">
        <f>A158/5</f>
        <v>39.200000000000003</v>
      </c>
    </row>
    <row r="159" spans="1:4" x14ac:dyDescent="0.25">
      <c r="A159">
        <v>197</v>
      </c>
      <c r="B159">
        <v>75</v>
      </c>
      <c r="C159">
        <v>5</v>
      </c>
      <c r="D159" s="2">
        <f t="shared" ref="D159:D161" si="7">A159/5</f>
        <v>39.4</v>
      </c>
    </row>
    <row r="160" spans="1:4" x14ac:dyDescent="0.25">
      <c r="A160">
        <v>198</v>
      </c>
      <c r="B160">
        <v>75</v>
      </c>
      <c r="C160">
        <v>5</v>
      </c>
      <c r="D160" s="2">
        <f t="shared" si="7"/>
        <v>39.6</v>
      </c>
    </row>
    <row r="161" spans="1:4" x14ac:dyDescent="0.25">
      <c r="A161">
        <v>199</v>
      </c>
      <c r="B161">
        <v>75</v>
      </c>
      <c r="C161">
        <v>5</v>
      </c>
      <c r="D161" s="2">
        <f t="shared" si="7"/>
        <v>39.799999999999997</v>
      </c>
    </row>
    <row r="162" spans="1:4" x14ac:dyDescent="0.25">
      <c r="A162">
        <v>200</v>
      </c>
      <c r="B162">
        <v>80</v>
      </c>
      <c r="C162">
        <v>6</v>
      </c>
      <c r="D162" s="2">
        <f>A162/4</f>
        <v>50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2D232F-4E14-42E1-817E-BFA1E6C37182}">
  <dimension ref="A1:B162"/>
  <sheetViews>
    <sheetView topLeftCell="A145" workbookViewId="0">
      <selection sqref="A1:XFD1048576"/>
    </sheetView>
  </sheetViews>
  <sheetFormatPr baseColWidth="10" defaultColWidth="9.140625" defaultRowHeight="15" x14ac:dyDescent="0.25"/>
  <cols>
    <col min="2" max="2" width="9.5703125" bestFit="1" customWidth="1"/>
  </cols>
  <sheetData>
    <row r="1" spans="1:2" x14ac:dyDescent="0.25">
      <c r="A1" t="s">
        <v>109</v>
      </c>
      <c r="B1" t="s">
        <v>110</v>
      </c>
    </row>
    <row r="2" spans="1:2" x14ac:dyDescent="0.25">
      <c r="A2">
        <v>40</v>
      </c>
      <c r="B2">
        <v>0</v>
      </c>
    </row>
    <row r="3" spans="1:2" x14ac:dyDescent="0.25">
      <c r="A3">
        <v>41</v>
      </c>
      <c r="B3">
        <v>0</v>
      </c>
    </row>
    <row r="4" spans="1:2" x14ac:dyDescent="0.25">
      <c r="A4">
        <v>42</v>
      </c>
      <c r="B4">
        <v>0</v>
      </c>
    </row>
    <row r="5" spans="1:2" x14ac:dyDescent="0.25">
      <c r="A5">
        <v>43</v>
      </c>
      <c r="B5">
        <v>0</v>
      </c>
    </row>
    <row r="6" spans="1:2" x14ac:dyDescent="0.25">
      <c r="A6">
        <v>44</v>
      </c>
      <c r="B6">
        <v>0</v>
      </c>
    </row>
    <row r="7" spans="1:2" x14ac:dyDescent="0.25">
      <c r="A7">
        <v>45</v>
      </c>
      <c r="B7">
        <v>0</v>
      </c>
    </row>
    <row r="8" spans="1:2" x14ac:dyDescent="0.25">
      <c r="A8">
        <v>46</v>
      </c>
      <c r="B8">
        <v>0</v>
      </c>
    </row>
    <row r="9" spans="1:2" x14ac:dyDescent="0.25">
      <c r="A9">
        <v>47</v>
      </c>
      <c r="B9">
        <v>0</v>
      </c>
    </row>
    <row r="10" spans="1:2" x14ac:dyDescent="0.25">
      <c r="A10">
        <v>48</v>
      </c>
      <c r="B10">
        <v>0</v>
      </c>
    </row>
    <row r="11" spans="1:2" x14ac:dyDescent="0.25">
      <c r="A11">
        <v>49</v>
      </c>
      <c r="B11">
        <v>0</v>
      </c>
    </row>
    <row r="12" spans="1:2" x14ac:dyDescent="0.25">
      <c r="A12">
        <v>50</v>
      </c>
      <c r="B12">
        <v>0</v>
      </c>
    </row>
    <row r="13" spans="1:2" x14ac:dyDescent="0.25">
      <c r="A13">
        <v>51</v>
      </c>
      <c r="B13">
        <v>0</v>
      </c>
    </row>
    <row r="14" spans="1:2" x14ac:dyDescent="0.25">
      <c r="A14">
        <v>52</v>
      </c>
      <c r="B14">
        <v>0</v>
      </c>
    </row>
    <row r="15" spans="1:2" x14ac:dyDescent="0.25">
      <c r="A15">
        <v>53</v>
      </c>
      <c r="B15">
        <v>0</v>
      </c>
    </row>
    <row r="16" spans="1:2" x14ac:dyDescent="0.25">
      <c r="A16">
        <v>54</v>
      </c>
      <c r="B16">
        <v>0</v>
      </c>
    </row>
    <row r="17" spans="1:2" x14ac:dyDescent="0.25">
      <c r="A17">
        <v>55</v>
      </c>
      <c r="B17">
        <v>0</v>
      </c>
    </row>
    <row r="18" spans="1:2" x14ac:dyDescent="0.25">
      <c r="A18">
        <v>56</v>
      </c>
      <c r="B18">
        <v>0</v>
      </c>
    </row>
    <row r="19" spans="1:2" x14ac:dyDescent="0.25">
      <c r="A19">
        <v>57</v>
      </c>
      <c r="B19">
        <v>0</v>
      </c>
    </row>
    <row r="20" spans="1:2" x14ac:dyDescent="0.25">
      <c r="A20">
        <v>58</v>
      </c>
      <c r="B20">
        <v>0</v>
      </c>
    </row>
    <row r="21" spans="1:2" x14ac:dyDescent="0.25">
      <c r="A21">
        <v>59</v>
      </c>
      <c r="B21">
        <v>0</v>
      </c>
    </row>
    <row r="22" spans="1:2" x14ac:dyDescent="0.25">
      <c r="A22">
        <v>60</v>
      </c>
      <c r="B22">
        <v>0</v>
      </c>
    </row>
    <row r="23" spans="1:2" x14ac:dyDescent="0.25">
      <c r="A23">
        <v>61</v>
      </c>
      <c r="B23">
        <v>0</v>
      </c>
    </row>
    <row r="24" spans="1:2" x14ac:dyDescent="0.25">
      <c r="A24">
        <v>62</v>
      </c>
      <c r="B24">
        <v>0</v>
      </c>
    </row>
    <row r="25" spans="1:2" x14ac:dyDescent="0.25">
      <c r="A25">
        <v>63</v>
      </c>
      <c r="B25">
        <v>0</v>
      </c>
    </row>
    <row r="26" spans="1:2" x14ac:dyDescent="0.25">
      <c r="A26">
        <v>64</v>
      </c>
      <c r="B26">
        <v>0</v>
      </c>
    </row>
    <row r="27" spans="1:2" x14ac:dyDescent="0.25">
      <c r="A27">
        <v>65</v>
      </c>
      <c r="B27">
        <v>0</v>
      </c>
    </row>
    <row r="28" spans="1:2" x14ac:dyDescent="0.25">
      <c r="A28">
        <v>66</v>
      </c>
      <c r="B28">
        <v>0</v>
      </c>
    </row>
    <row r="29" spans="1:2" x14ac:dyDescent="0.25">
      <c r="A29">
        <v>67</v>
      </c>
      <c r="B29">
        <v>0</v>
      </c>
    </row>
    <row r="30" spans="1:2" x14ac:dyDescent="0.25">
      <c r="A30">
        <v>68</v>
      </c>
      <c r="B30">
        <v>0</v>
      </c>
    </row>
    <row r="31" spans="1:2" x14ac:dyDescent="0.25">
      <c r="A31">
        <v>69</v>
      </c>
      <c r="B31">
        <v>0</v>
      </c>
    </row>
    <row r="32" spans="1:2" x14ac:dyDescent="0.25">
      <c r="A32">
        <v>70</v>
      </c>
      <c r="B32">
        <v>0</v>
      </c>
    </row>
    <row r="33" spans="1:2" x14ac:dyDescent="0.25">
      <c r="A33">
        <v>71</v>
      </c>
      <c r="B33">
        <v>0</v>
      </c>
    </row>
    <row r="34" spans="1:2" x14ac:dyDescent="0.25">
      <c r="A34">
        <v>72</v>
      </c>
      <c r="B34">
        <v>0</v>
      </c>
    </row>
    <row r="35" spans="1:2" x14ac:dyDescent="0.25">
      <c r="A35">
        <v>73</v>
      </c>
      <c r="B35">
        <v>0</v>
      </c>
    </row>
    <row r="36" spans="1:2" x14ac:dyDescent="0.25">
      <c r="A36">
        <v>74</v>
      </c>
      <c r="B36">
        <v>0</v>
      </c>
    </row>
    <row r="37" spans="1:2" x14ac:dyDescent="0.25">
      <c r="A37">
        <v>75</v>
      </c>
      <c r="B37">
        <v>0</v>
      </c>
    </row>
    <row r="38" spans="1:2" x14ac:dyDescent="0.25">
      <c r="A38">
        <v>76</v>
      </c>
      <c r="B38">
        <v>0</v>
      </c>
    </row>
    <row r="39" spans="1:2" x14ac:dyDescent="0.25">
      <c r="A39">
        <v>77</v>
      </c>
      <c r="B39">
        <v>0</v>
      </c>
    </row>
    <row r="40" spans="1:2" x14ac:dyDescent="0.25">
      <c r="A40">
        <v>78</v>
      </c>
      <c r="B40">
        <v>0</v>
      </c>
    </row>
    <row r="41" spans="1:2" x14ac:dyDescent="0.25">
      <c r="A41">
        <v>79</v>
      </c>
      <c r="B41">
        <v>0</v>
      </c>
    </row>
    <row r="42" spans="1:2" x14ac:dyDescent="0.25">
      <c r="A42">
        <v>80</v>
      </c>
      <c r="B42">
        <v>0</v>
      </c>
    </row>
    <row r="43" spans="1:2" x14ac:dyDescent="0.25">
      <c r="A43">
        <v>81</v>
      </c>
      <c r="B43">
        <v>0</v>
      </c>
    </row>
    <row r="44" spans="1:2" x14ac:dyDescent="0.25">
      <c r="A44">
        <v>82</v>
      </c>
      <c r="B44">
        <v>0</v>
      </c>
    </row>
    <row r="45" spans="1:2" x14ac:dyDescent="0.25">
      <c r="A45">
        <v>83</v>
      </c>
      <c r="B45">
        <v>0</v>
      </c>
    </row>
    <row r="46" spans="1:2" x14ac:dyDescent="0.25">
      <c r="A46">
        <v>84</v>
      </c>
      <c r="B46">
        <v>0</v>
      </c>
    </row>
    <row r="47" spans="1:2" x14ac:dyDescent="0.25">
      <c r="A47">
        <v>85</v>
      </c>
      <c r="B47">
        <v>0</v>
      </c>
    </row>
    <row r="48" spans="1:2" x14ac:dyDescent="0.25">
      <c r="A48">
        <v>86</v>
      </c>
      <c r="B48">
        <v>0</v>
      </c>
    </row>
    <row r="49" spans="1:2" x14ac:dyDescent="0.25">
      <c r="A49">
        <v>87</v>
      </c>
      <c r="B49">
        <v>0</v>
      </c>
    </row>
    <row r="50" spans="1:2" x14ac:dyDescent="0.25">
      <c r="A50">
        <v>88</v>
      </c>
      <c r="B50">
        <v>0</v>
      </c>
    </row>
    <row r="51" spans="1:2" x14ac:dyDescent="0.25">
      <c r="A51">
        <v>89</v>
      </c>
      <c r="B51">
        <v>0</v>
      </c>
    </row>
    <row r="52" spans="1:2" x14ac:dyDescent="0.25">
      <c r="A52">
        <v>90</v>
      </c>
      <c r="B52">
        <v>0</v>
      </c>
    </row>
    <row r="53" spans="1:2" x14ac:dyDescent="0.25">
      <c r="A53">
        <v>91</v>
      </c>
      <c r="B53">
        <v>0</v>
      </c>
    </row>
    <row r="54" spans="1:2" x14ac:dyDescent="0.25">
      <c r="A54">
        <v>92</v>
      </c>
      <c r="B54">
        <v>0</v>
      </c>
    </row>
    <row r="55" spans="1:2" x14ac:dyDescent="0.25">
      <c r="A55">
        <v>93</v>
      </c>
      <c r="B55">
        <v>0</v>
      </c>
    </row>
    <row r="56" spans="1:2" x14ac:dyDescent="0.25">
      <c r="A56">
        <v>94</v>
      </c>
      <c r="B56">
        <v>0</v>
      </c>
    </row>
    <row r="57" spans="1:2" x14ac:dyDescent="0.25">
      <c r="A57">
        <v>95</v>
      </c>
      <c r="B57">
        <v>0</v>
      </c>
    </row>
    <row r="58" spans="1:2" x14ac:dyDescent="0.25">
      <c r="A58">
        <v>96</v>
      </c>
      <c r="B58">
        <v>0</v>
      </c>
    </row>
    <row r="59" spans="1:2" x14ac:dyDescent="0.25">
      <c r="A59">
        <v>97</v>
      </c>
      <c r="B59">
        <v>0</v>
      </c>
    </row>
    <row r="60" spans="1:2" x14ac:dyDescent="0.25">
      <c r="A60">
        <v>98</v>
      </c>
      <c r="B60">
        <v>0</v>
      </c>
    </row>
    <row r="61" spans="1:2" x14ac:dyDescent="0.25">
      <c r="A61">
        <v>99</v>
      </c>
      <c r="B61">
        <v>0</v>
      </c>
    </row>
    <row r="62" spans="1:2" x14ac:dyDescent="0.25">
      <c r="A62">
        <v>100</v>
      </c>
      <c r="B62">
        <v>0</v>
      </c>
    </row>
    <row r="63" spans="1:2" x14ac:dyDescent="0.25">
      <c r="A63">
        <v>101</v>
      </c>
      <c r="B63">
        <v>40</v>
      </c>
    </row>
    <row r="64" spans="1:2" x14ac:dyDescent="0.25">
      <c r="A64">
        <v>102</v>
      </c>
      <c r="B64">
        <v>40</v>
      </c>
    </row>
    <row r="65" spans="1:2" x14ac:dyDescent="0.25">
      <c r="A65">
        <v>103</v>
      </c>
      <c r="B65">
        <v>40</v>
      </c>
    </row>
    <row r="66" spans="1:2" x14ac:dyDescent="0.25">
      <c r="A66">
        <v>104</v>
      </c>
      <c r="B66">
        <v>40</v>
      </c>
    </row>
    <row r="67" spans="1:2" x14ac:dyDescent="0.25">
      <c r="A67">
        <v>105</v>
      </c>
      <c r="B67">
        <v>40</v>
      </c>
    </row>
    <row r="68" spans="1:2" x14ac:dyDescent="0.25">
      <c r="A68">
        <v>106</v>
      </c>
      <c r="B68">
        <v>40</v>
      </c>
    </row>
    <row r="69" spans="1:2" x14ac:dyDescent="0.25">
      <c r="A69">
        <v>107</v>
      </c>
      <c r="B69">
        <v>40</v>
      </c>
    </row>
    <row r="70" spans="1:2" x14ac:dyDescent="0.25">
      <c r="A70">
        <v>108</v>
      </c>
      <c r="B70">
        <v>40</v>
      </c>
    </row>
    <row r="71" spans="1:2" x14ac:dyDescent="0.25">
      <c r="A71">
        <v>109</v>
      </c>
      <c r="B71">
        <v>40</v>
      </c>
    </row>
    <row r="72" spans="1:2" x14ac:dyDescent="0.25">
      <c r="A72">
        <v>110</v>
      </c>
      <c r="B72">
        <v>40</v>
      </c>
    </row>
    <row r="73" spans="1:2" x14ac:dyDescent="0.25">
      <c r="A73">
        <v>111</v>
      </c>
      <c r="B73">
        <v>40</v>
      </c>
    </row>
    <row r="74" spans="1:2" x14ac:dyDescent="0.25">
      <c r="A74">
        <v>112</v>
      </c>
      <c r="B74">
        <v>40</v>
      </c>
    </row>
    <row r="75" spans="1:2" x14ac:dyDescent="0.25">
      <c r="A75">
        <v>113</v>
      </c>
      <c r="B75">
        <v>40</v>
      </c>
    </row>
    <row r="76" spans="1:2" x14ac:dyDescent="0.25">
      <c r="A76">
        <v>114</v>
      </c>
      <c r="B76">
        <v>40</v>
      </c>
    </row>
    <row r="77" spans="1:2" x14ac:dyDescent="0.25">
      <c r="A77">
        <v>115</v>
      </c>
      <c r="B77">
        <v>40</v>
      </c>
    </row>
    <row r="78" spans="1:2" x14ac:dyDescent="0.25">
      <c r="A78">
        <v>116</v>
      </c>
      <c r="B78">
        <v>40</v>
      </c>
    </row>
    <row r="79" spans="1:2" x14ac:dyDescent="0.25">
      <c r="A79">
        <v>117</v>
      </c>
      <c r="B79">
        <v>40</v>
      </c>
    </row>
    <row r="80" spans="1:2" x14ac:dyDescent="0.25">
      <c r="A80">
        <v>118</v>
      </c>
      <c r="B80">
        <v>40</v>
      </c>
    </row>
    <row r="81" spans="1:2" x14ac:dyDescent="0.25">
      <c r="A81">
        <v>119</v>
      </c>
      <c r="B81">
        <v>40</v>
      </c>
    </row>
    <row r="82" spans="1:2" x14ac:dyDescent="0.25">
      <c r="A82">
        <v>120</v>
      </c>
      <c r="B82">
        <v>40</v>
      </c>
    </row>
    <row r="83" spans="1:2" x14ac:dyDescent="0.25">
      <c r="A83">
        <v>121</v>
      </c>
      <c r="B83">
        <v>60</v>
      </c>
    </row>
    <row r="84" spans="1:2" x14ac:dyDescent="0.25">
      <c r="A84">
        <v>122</v>
      </c>
      <c r="B84">
        <v>60</v>
      </c>
    </row>
    <row r="85" spans="1:2" x14ac:dyDescent="0.25">
      <c r="A85">
        <v>123</v>
      </c>
      <c r="B85">
        <v>60</v>
      </c>
    </row>
    <row r="86" spans="1:2" x14ac:dyDescent="0.25">
      <c r="A86">
        <v>124</v>
      </c>
      <c r="B86">
        <v>60</v>
      </c>
    </row>
    <row r="87" spans="1:2" x14ac:dyDescent="0.25">
      <c r="A87">
        <v>125</v>
      </c>
      <c r="B87">
        <v>60</v>
      </c>
    </row>
    <row r="88" spans="1:2" x14ac:dyDescent="0.25">
      <c r="A88">
        <v>126</v>
      </c>
      <c r="B88">
        <v>60</v>
      </c>
    </row>
    <row r="89" spans="1:2" x14ac:dyDescent="0.25">
      <c r="A89">
        <v>127</v>
      </c>
      <c r="B89">
        <v>60</v>
      </c>
    </row>
    <row r="90" spans="1:2" x14ac:dyDescent="0.25">
      <c r="A90">
        <v>128</v>
      </c>
      <c r="B90">
        <v>60</v>
      </c>
    </row>
    <row r="91" spans="1:2" x14ac:dyDescent="0.25">
      <c r="A91">
        <v>129</v>
      </c>
      <c r="B91">
        <v>60</v>
      </c>
    </row>
    <row r="92" spans="1:2" x14ac:dyDescent="0.25">
      <c r="A92">
        <v>130</v>
      </c>
      <c r="B92">
        <v>60</v>
      </c>
    </row>
    <row r="93" spans="1:2" x14ac:dyDescent="0.25">
      <c r="A93">
        <v>131</v>
      </c>
      <c r="B93">
        <v>60</v>
      </c>
    </row>
    <row r="94" spans="1:2" x14ac:dyDescent="0.25">
      <c r="A94">
        <v>132</v>
      </c>
      <c r="B94">
        <v>60</v>
      </c>
    </row>
    <row r="95" spans="1:2" x14ac:dyDescent="0.25">
      <c r="A95">
        <v>133</v>
      </c>
      <c r="B95">
        <v>60</v>
      </c>
    </row>
    <row r="96" spans="1:2" x14ac:dyDescent="0.25">
      <c r="A96">
        <v>134</v>
      </c>
      <c r="B96">
        <v>60</v>
      </c>
    </row>
    <row r="97" spans="1:2" x14ac:dyDescent="0.25">
      <c r="A97">
        <v>135</v>
      </c>
      <c r="B97">
        <v>60</v>
      </c>
    </row>
    <row r="98" spans="1:2" x14ac:dyDescent="0.25">
      <c r="A98">
        <v>136</v>
      </c>
      <c r="B98">
        <v>60</v>
      </c>
    </row>
    <row r="99" spans="1:2" x14ac:dyDescent="0.25">
      <c r="A99">
        <v>137</v>
      </c>
      <c r="B99">
        <v>60</v>
      </c>
    </row>
    <row r="100" spans="1:2" x14ac:dyDescent="0.25">
      <c r="A100">
        <v>138</v>
      </c>
      <c r="B100">
        <v>60</v>
      </c>
    </row>
    <row r="101" spans="1:2" x14ac:dyDescent="0.25">
      <c r="A101">
        <v>139</v>
      </c>
      <c r="B101">
        <v>60</v>
      </c>
    </row>
    <row r="102" spans="1:2" x14ac:dyDescent="0.25">
      <c r="A102">
        <v>140</v>
      </c>
      <c r="B102">
        <v>60</v>
      </c>
    </row>
    <row r="103" spans="1:2" x14ac:dyDescent="0.25">
      <c r="A103">
        <v>141</v>
      </c>
      <c r="B103">
        <v>80</v>
      </c>
    </row>
    <row r="104" spans="1:2" x14ac:dyDescent="0.25">
      <c r="A104">
        <v>142</v>
      </c>
      <c r="B104">
        <v>80</v>
      </c>
    </row>
    <row r="105" spans="1:2" x14ac:dyDescent="0.25">
      <c r="A105">
        <v>143</v>
      </c>
      <c r="B105">
        <v>80</v>
      </c>
    </row>
    <row r="106" spans="1:2" x14ac:dyDescent="0.25">
      <c r="A106">
        <v>144</v>
      </c>
      <c r="B106">
        <v>80</v>
      </c>
    </row>
    <row r="107" spans="1:2" x14ac:dyDescent="0.25">
      <c r="A107">
        <v>145</v>
      </c>
      <c r="B107">
        <v>80</v>
      </c>
    </row>
    <row r="108" spans="1:2" x14ac:dyDescent="0.25">
      <c r="A108">
        <v>146</v>
      </c>
      <c r="B108">
        <v>80</v>
      </c>
    </row>
    <row r="109" spans="1:2" x14ac:dyDescent="0.25">
      <c r="A109">
        <v>147</v>
      </c>
      <c r="B109">
        <v>80</v>
      </c>
    </row>
    <row r="110" spans="1:2" x14ac:dyDescent="0.25">
      <c r="A110">
        <v>148</v>
      </c>
      <c r="B110">
        <v>80</v>
      </c>
    </row>
    <row r="111" spans="1:2" x14ac:dyDescent="0.25">
      <c r="A111">
        <v>149</v>
      </c>
      <c r="B111">
        <v>80</v>
      </c>
    </row>
    <row r="112" spans="1:2" x14ac:dyDescent="0.25">
      <c r="A112">
        <v>150</v>
      </c>
      <c r="B112">
        <v>80</v>
      </c>
    </row>
    <row r="113" spans="1:2" x14ac:dyDescent="0.25">
      <c r="A113">
        <v>151</v>
      </c>
      <c r="B113">
        <v>80</v>
      </c>
    </row>
    <row r="114" spans="1:2" x14ac:dyDescent="0.25">
      <c r="A114">
        <v>152</v>
      </c>
      <c r="B114">
        <v>80</v>
      </c>
    </row>
    <row r="115" spans="1:2" x14ac:dyDescent="0.25">
      <c r="A115">
        <v>153</v>
      </c>
      <c r="B115">
        <v>80</v>
      </c>
    </row>
    <row r="116" spans="1:2" x14ac:dyDescent="0.25">
      <c r="A116">
        <v>154</v>
      </c>
      <c r="B116">
        <v>80</v>
      </c>
    </row>
    <row r="117" spans="1:2" x14ac:dyDescent="0.25">
      <c r="A117">
        <v>155</v>
      </c>
      <c r="B117">
        <v>80</v>
      </c>
    </row>
    <row r="118" spans="1:2" x14ac:dyDescent="0.25">
      <c r="A118">
        <v>156</v>
      </c>
      <c r="B118">
        <v>80</v>
      </c>
    </row>
    <row r="119" spans="1:2" x14ac:dyDescent="0.25">
      <c r="A119">
        <v>157</v>
      </c>
      <c r="B119">
        <v>80</v>
      </c>
    </row>
    <row r="120" spans="1:2" x14ac:dyDescent="0.25">
      <c r="A120">
        <v>158</v>
      </c>
      <c r="B120">
        <v>80</v>
      </c>
    </row>
    <row r="121" spans="1:2" x14ac:dyDescent="0.25">
      <c r="A121">
        <v>159</v>
      </c>
      <c r="B121">
        <v>80</v>
      </c>
    </row>
    <row r="122" spans="1:2" x14ac:dyDescent="0.25">
      <c r="A122">
        <v>160</v>
      </c>
      <c r="B122">
        <v>80</v>
      </c>
    </row>
    <row r="123" spans="1:2" x14ac:dyDescent="0.25">
      <c r="A123">
        <v>161</v>
      </c>
      <c r="B123">
        <v>100</v>
      </c>
    </row>
    <row r="124" spans="1:2" x14ac:dyDescent="0.25">
      <c r="A124">
        <v>162</v>
      </c>
      <c r="B124">
        <v>100</v>
      </c>
    </row>
    <row r="125" spans="1:2" x14ac:dyDescent="0.25">
      <c r="A125">
        <v>163</v>
      </c>
      <c r="B125">
        <v>100</v>
      </c>
    </row>
    <row r="126" spans="1:2" x14ac:dyDescent="0.25">
      <c r="A126">
        <v>164</v>
      </c>
      <c r="B126">
        <v>100</v>
      </c>
    </row>
    <row r="127" spans="1:2" x14ac:dyDescent="0.25">
      <c r="A127">
        <v>165</v>
      </c>
      <c r="B127">
        <v>100</v>
      </c>
    </row>
    <row r="128" spans="1:2" x14ac:dyDescent="0.25">
      <c r="A128">
        <v>166</v>
      </c>
      <c r="B128">
        <v>100</v>
      </c>
    </row>
    <row r="129" spans="1:2" x14ac:dyDescent="0.25">
      <c r="A129">
        <v>167</v>
      </c>
      <c r="B129">
        <v>100</v>
      </c>
    </row>
    <row r="130" spans="1:2" x14ac:dyDescent="0.25">
      <c r="A130">
        <v>168</v>
      </c>
      <c r="B130">
        <v>100</v>
      </c>
    </row>
    <row r="131" spans="1:2" x14ac:dyDescent="0.25">
      <c r="A131">
        <v>169</v>
      </c>
      <c r="B131">
        <v>100</v>
      </c>
    </row>
    <row r="132" spans="1:2" x14ac:dyDescent="0.25">
      <c r="A132">
        <v>170</v>
      </c>
      <c r="B132">
        <v>100</v>
      </c>
    </row>
    <row r="133" spans="1:2" x14ac:dyDescent="0.25">
      <c r="A133">
        <v>171</v>
      </c>
      <c r="B133">
        <v>100</v>
      </c>
    </row>
    <row r="134" spans="1:2" x14ac:dyDescent="0.25">
      <c r="A134">
        <v>172</v>
      </c>
      <c r="B134">
        <v>100</v>
      </c>
    </row>
    <row r="135" spans="1:2" x14ac:dyDescent="0.25">
      <c r="A135">
        <v>173</v>
      </c>
      <c r="B135">
        <v>100</v>
      </c>
    </row>
    <row r="136" spans="1:2" x14ac:dyDescent="0.25">
      <c r="A136">
        <v>174</v>
      </c>
      <c r="B136">
        <v>100</v>
      </c>
    </row>
    <row r="137" spans="1:2" x14ac:dyDescent="0.25">
      <c r="A137">
        <v>175</v>
      </c>
      <c r="B137">
        <v>100</v>
      </c>
    </row>
    <row r="138" spans="1:2" x14ac:dyDescent="0.25">
      <c r="A138">
        <v>176</v>
      </c>
      <c r="B138">
        <v>100</v>
      </c>
    </row>
    <row r="139" spans="1:2" x14ac:dyDescent="0.25">
      <c r="A139">
        <v>177</v>
      </c>
      <c r="B139">
        <v>100</v>
      </c>
    </row>
    <row r="140" spans="1:2" x14ac:dyDescent="0.25">
      <c r="A140">
        <v>178</v>
      </c>
      <c r="B140">
        <v>100</v>
      </c>
    </row>
    <row r="141" spans="1:2" x14ac:dyDescent="0.25">
      <c r="A141">
        <v>179</v>
      </c>
      <c r="B141">
        <v>100</v>
      </c>
    </row>
    <row r="142" spans="1:2" x14ac:dyDescent="0.25">
      <c r="A142">
        <v>180</v>
      </c>
      <c r="B142">
        <v>100</v>
      </c>
    </row>
    <row r="143" spans="1:2" x14ac:dyDescent="0.25">
      <c r="A143">
        <v>181</v>
      </c>
      <c r="B143">
        <v>120</v>
      </c>
    </row>
    <row r="144" spans="1:2" x14ac:dyDescent="0.25">
      <c r="A144">
        <v>182</v>
      </c>
      <c r="B144">
        <v>120</v>
      </c>
    </row>
    <row r="145" spans="1:2" x14ac:dyDescent="0.25">
      <c r="A145">
        <v>183</v>
      </c>
      <c r="B145">
        <v>120</v>
      </c>
    </row>
    <row r="146" spans="1:2" x14ac:dyDescent="0.25">
      <c r="A146">
        <v>184</v>
      </c>
      <c r="B146">
        <v>120</v>
      </c>
    </row>
    <row r="147" spans="1:2" x14ac:dyDescent="0.25">
      <c r="A147">
        <v>185</v>
      </c>
      <c r="B147">
        <v>120</v>
      </c>
    </row>
    <row r="148" spans="1:2" x14ac:dyDescent="0.25">
      <c r="A148">
        <v>186</v>
      </c>
      <c r="B148">
        <v>120</v>
      </c>
    </row>
    <row r="149" spans="1:2" x14ac:dyDescent="0.25">
      <c r="A149">
        <v>187</v>
      </c>
      <c r="B149">
        <v>120</v>
      </c>
    </row>
    <row r="150" spans="1:2" x14ac:dyDescent="0.25">
      <c r="A150">
        <v>188</v>
      </c>
      <c r="B150">
        <v>120</v>
      </c>
    </row>
    <row r="151" spans="1:2" x14ac:dyDescent="0.25">
      <c r="A151">
        <v>189</v>
      </c>
      <c r="B151">
        <v>120</v>
      </c>
    </row>
    <row r="152" spans="1:2" x14ac:dyDescent="0.25">
      <c r="A152">
        <v>190</v>
      </c>
      <c r="B152">
        <v>120</v>
      </c>
    </row>
    <row r="153" spans="1:2" x14ac:dyDescent="0.25">
      <c r="A153">
        <v>191</v>
      </c>
      <c r="B153">
        <v>120</v>
      </c>
    </row>
    <row r="154" spans="1:2" x14ac:dyDescent="0.25">
      <c r="A154">
        <v>192</v>
      </c>
      <c r="B154">
        <v>120</v>
      </c>
    </row>
    <row r="155" spans="1:2" x14ac:dyDescent="0.25">
      <c r="A155">
        <v>193</v>
      </c>
      <c r="B155">
        <v>120</v>
      </c>
    </row>
    <row r="156" spans="1:2" x14ac:dyDescent="0.25">
      <c r="A156">
        <v>194</v>
      </c>
      <c r="B156">
        <v>120</v>
      </c>
    </row>
    <row r="157" spans="1:2" x14ac:dyDescent="0.25">
      <c r="A157">
        <v>195</v>
      </c>
      <c r="B157">
        <v>120</v>
      </c>
    </row>
    <row r="158" spans="1:2" x14ac:dyDescent="0.25">
      <c r="A158">
        <v>196</v>
      </c>
      <c r="B158">
        <v>120</v>
      </c>
    </row>
    <row r="159" spans="1:2" x14ac:dyDescent="0.25">
      <c r="A159">
        <v>197</v>
      </c>
      <c r="B159">
        <v>120</v>
      </c>
    </row>
    <row r="160" spans="1:2" x14ac:dyDescent="0.25">
      <c r="A160">
        <v>198</v>
      </c>
      <c r="B160">
        <v>120</v>
      </c>
    </row>
    <row r="161" spans="1:2" x14ac:dyDescent="0.25">
      <c r="A161">
        <v>199</v>
      </c>
      <c r="B161">
        <v>120</v>
      </c>
    </row>
    <row r="162" spans="1:2" x14ac:dyDescent="0.25">
      <c r="A162">
        <v>200</v>
      </c>
      <c r="B162">
        <v>120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17</vt:i4>
      </vt:variant>
      <vt:variant>
        <vt:lpstr>Rangos con nombre</vt:lpstr>
      </vt:variant>
      <vt:variant>
        <vt:i4>69</vt:i4>
      </vt:variant>
    </vt:vector>
  </HeadingPairs>
  <TitlesOfParts>
    <vt:vector size="86" baseType="lpstr">
      <vt:lpstr>Pendiente</vt:lpstr>
      <vt:lpstr>Notas</vt:lpstr>
      <vt:lpstr>Ficha</vt:lpstr>
      <vt:lpstr>EXP-PCs</vt:lpstr>
      <vt:lpstr>Historia y Personaje</vt:lpstr>
      <vt:lpstr>Fuerza</vt:lpstr>
      <vt:lpstr>Constitución</vt:lpstr>
      <vt:lpstr>Agilidad</vt:lpstr>
      <vt:lpstr>Inteligencia</vt:lpstr>
      <vt:lpstr>Voluntad</vt:lpstr>
      <vt:lpstr>Habilidades</vt:lpstr>
      <vt:lpstr>Origen</vt:lpstr>
      <vt:lpstr>Poderes</vt:lpstr>
      <vt:lpstr>Hechizos</vt:lpstr>
      <vt:lpstr>Tecnoarmaduras</vt:lpstr>
      <vt:lpstr>Armas</vt:lpstr>
      <vt:lpstr>Artefactos</vt:lpstr>
      <vt:lpstr>Accidental</vt:lpstr>
      <vt:lpstr>Alterado</vt:lpstr>
      <vt:lpstr>Ambiente_Infantil</vt:lpstr>
      <vt:lpstr>Amistades_Allegados</vt:lpstr>
      <vt:lpstr>Arcano</vt:lpstr>
      <vt:lpstr>Armas_CaC</vt:lpstr>
      <vt:lpstr>Armas_Fuego</vt:lpstr>
      <vt:lpstr>Atlante</vt:lpstr>
      <vt:lpstr>Avatar</vt:lpstr>
      <vt:lpstr>Cósmico</vt:lpstr>
      <vt:lpstr>Cyborg</vt:lpstr>
      <vt:lpstr>Cyborg_FUE</vt:lpstr>
      <vt:lpstr>Cyborg_PV</vt:lpstr>
      <vt:lpstr>Dios</vt:lpstr>
      <vt:lpstr>Dios_menor</vt:lpstr>
      <vt:lpstr>Divino</vt:lpstr>
      <vt:lpstr>Energético</vt:lpstr>
      <vt:lpstr>Energético_Físico</vt:lpstr>
      <vt:lpstr>Exoesqueleto_Defensivo</vt:lpstr>
      <vt:lpstr>Exoesqueleto_energético</vt:lpstr>
      <vt:lpstr>Experimental</vt:lpstr>
      <vt:lpstr>Familia</vt:lpstr>
      <vt:lpstr>Fiabilidad_Artefacto</vt:lpstr>
      <vt:lpstr>Físico</vt:lpstr>
      <vt:lpstr>Guardián</vt:lpstr>
      <vt:lpstr>Hechizos</vt:lpstr>
      <vt:lpstr>Heraldo</vt:lpstr>
      <vt:lpstr>Híbrido</vt:lpstr>
      <vt:lpstr>I.A.</vt:lpstr>
      <vt:lpstr>Ingresos_Tecnificados</vt:lpstr>
      <vt:lpstr>Localizaciones</vt:lpstr>
      <vt:lpstr>Material</vt:lpstr>
      <vt:lpstr>Mejora_poderes</vt:lpstr>
      <vt:lpstr>Mutante</vt:lpstr>
      <vt:lpstr>Nivel</vt:lpstr>
      <vt:lpstr>Objeto_Anillo</vt:lpstr>
      <vt:lpstr>Objeto_Arma</vt:lpstr>
      <vt:lpstr>Objeto_Armadura</vt:lpstr>
      <vt:lpstr>Objeto_Colgante</vt:lpstr>
      <vt:lpstr>Objeto_Estatuilla</vt:lpstr>
      <vt:lpstr>Objeto_Gema_o_joya</vt:lpstr>
      <vt:lpstr>Objeto_Instrumento_musical</vt:lpstr>
      <vt:lpstr>Objeto_Prenda_de_vestir</vt:lpstr>
      <vt:lpstr>Origenes</vt:lpstr>
      <vt:lpstr>Parahumano</vt:lpstr>
      <vt:lpstr>PCs_Secuelas</vt:lpstr>
      <vt:lpstr>Pers_Secreta</vt:lpstr>
      <vt:lpstr>Personalidad</vt:lpstr>
      <vt:lpstr>Poderes</vt:lpstr>
      <vt:lpstr>Posición_económica</vt:lpstr>
      <vt:lpstr>Posición_Social</vt:lpstr>
      <vt:lpstr>Psíquico</vt:lpstr>
      <vt:lpstr>Psíquico_Energético</vt:lpstr>
      <vt:lpstr>Psíquico_Fisíco</vt:lpstr>
      <vt:lpstr>Rango</vt:lpstr>
      <vt:lpstr>Robot_gigante</vt:lpstr>
      <vt:lpstr>Secuela</vt:lpstr>
      <vt:lpstr>Semidios</vt:lpstr>
      <vt:lpstr>Servofibras</vt:lpstr>
      <vt:lpstr>Situación_Legal</vt:lpstr>
      <vt:lpstr>Situación_pública</vt:lpstr>
      <vt:lpstr>Tamaño_Artefacto</vt:lpstr>
      <vt:lpstr>Tecnoarmadura</vt:lpstr>
      <vt:lpstr>Tecnológico</vt:lpstr>
      <vt:lpstr>Tecnovehículo</vt:lpstr>
      <vt:lpstr>Tes_Khar</vt:lpstr>
      <vt:lpstr>Thals</vt:lpstr>
      <vt:lpstr>Tipo_base</vt:lpstr>
      <vt:lpstr>Vigilante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Carlos</dc:creator>
  <cp:lastModifiedBy>Carlos</cp:lastModifiedBy>
  <dcterms:created xsi:type="dcterms:W3CDTF">2021-08-10T19:39:55Z</dcterms:created>
  <dcterms:modified xsi:type="dcterms:W3CDTF">2021-08-25T10:28:25Z</dcterms:modified>
</cp:coreProperties>
</file>